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v1xOUqvt7pLskdk3jaNT7kCWyRESfAgRBOh2UaVL3sREhI9BlGyUmO51Ev51V+cO02OUx/9FxDUX/cloB02H8g==" workbookSaltValue="8P8z8rKPl4OjQuiaMBzNx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L28" i="2" s="1"/>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R8" i="9" s="1"/>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R22" i="14" s="1"/>
  <c r="P21" i="14"/>
  <c r="P20" i="14"/>
  <c r="P19" i="14"/>
  <c r="P18" i="14"/>
  <c r="R18" i="14" s="1"/>
  <c r="P17" i="14"/>
  <c r="P16" i="14"/>
  <c r="P12" i="14"/>
  <c r="P11" i="14"/>
  <c r="R11" i="14" s="1"/>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G28" i="2"/>
  <c r="H28" i="2" s="1"/>
  <c r="I28" i="2"/>
  <c r="A29" i="2"/>
  <c r="B29" i="2"/>
  <c r="C29" i="2"/>
  <c r="E29" i="2"/>
  <c r="G29" i="2"/>
  <c r="I29" i="2"/>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AP17" i="20"/>
  <c r="BG10" i="11"/>
  <c r="V25" i="11"/>
  <c r="S14" i="16"/>
  <c r="P14" i="16"/>
  <c r="F13" i="16"/>
  <c r="Z14" i="17"/>
  <c r="R30" i="17"/>
  <c r="K26" i="2"/>
  <c r="N26" i="2"/>
  <c r="K30" i="2"/>
  <c r="F30" i="17"/>
  <c r="F26" i="17"/>
  <c r="F14" i="7"/>
  <c r="BI25" i="11"/>
  <c r="V13" i="11"/>
  <c r="BI19" i="11"/>
  <c r="AP22" i="20"/>
  <c r="BG16" i="11"/>
  <c r="BH13" i="11"/>
  <c r="BL13" i="1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K22" i="11"/>
  <c r="T14" i="20"/>
  <c r="BB26" i="13"/>
  <c r="BD9" i="8"/>
  <c r="L10" i="2"/>
  <c r="X21" i="20"/>
  <c r="AH14" i="16"/>
  <c r="L16" i="2"/>
  <c r="L17" i="2"/>
  <c r="L18" i="2"/>
  <c r="AO14" i="21"/>
  <c r="X16" i="16"/>
  <c r="X23" i="16" s="1"/>
  <c r="AA11" i="16"/>
  <c r="L9" i="2"/>
  <c r="AP14" i="16"/>
  <c r="V25" i="16"/>
  <c r="F11" i="16"/>
  <c r="BL11" i="16" s="1"/>
  <c r="T23" i="17"/>
  <c r="T26" i="17" s="1"/>
  <c r="T30" i="17" s="1"/>
  <c r="U26" i="16"/>
  <c r="BG16" i="13"/>
  <c r="BE17" i="13"/>
  <c r="BF17" i="13"/>
  <c r="E32" i="20"/>
  <c r="M32" i="20"/>
  <c r="AI32" i="20"/>
  <c r="AM32" i="20"/>
  <c r="U10" i="11"/>
  <c r="I32" i="20"/>
  <c r="J32" i="20"/>
  <c r="Q32" i="20"/>
  <c r="AK32" i="20"/>
  <c r="AE32" i="20"/>
  <c r="AZ32" i="20"/>
  <c r="W32" i="20"/>
  <c r="AJ32" i="20"/>
  <c r="G30" i="14"/>
  <c r="G23" i="14"/>
  <c r="U18" i="11"/>
  <c r="AX32" i="20"/>
  <c r="Y32" i="20"/>
  <c r="L32" i="20"/>
  <c r="AG32" i="20"/>
  <c r="H32" i="20"/>
  <c r="T32" i="21"/>
  <c r="F32" i="20"/>
  <c r="AF32" i="20"/>
  <c r="G26" i="14"/>
  <c r="S32" i="20"/>
  <c r="K32" i="20"/>
  <c r="AQ32" i="21"/>
  <c r="O17" i="11"/>
  <c r="U12" i="11"/>
  <c r="AU32" i="20"/>
  <c r="G14" i="14"/>
  <c r="O18" i="11"/>
  <c r="R32" i="20"/>
  <c r="F28" i="2" l="1"/>
  <c r="F25" i="2"/>
  <c r="BF17" i="8"/>
  <c r="E23" i="12"/>
  <c r="D14" i="7"/>
  <c r="AL21" i="11"/>
  <c r="L17" i="14"/>
  <c r="J29" i="2"/>
  <c r="F16" i="11"/>
  <c r="AQ16" i="11" s="1"/>
  <c r="U13" i="16"/>
  <c r="P13" i="14"/>
  <c r="R13" i="14" s="1"/>
  <c r="R13" i="17"/>
  <c r="BH9" i="16"/>
  <c r="BL19" i="11"/>
  <c r="BJ18" i="11"/>
  <c r="BM17" i="11"/>
  <c r="BF21" i="11"/>
  <c r="BF17" i="11"/>
  <c r="BL12" i="11"/>
  <c r="BK21" i="11"/>
  <c r="AZ18" i="11"/>
  <c r="AP10" i="21"/>
  <c r="AP21" i="20"/>
  <c r="BH20" i="16"/>
  <c r="BJ11" i="11"/>
  <c r="BH22" i="16"/>
  <c r="R10" i="21"/>
  <c r="R14" i="21" s="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X13" i="16"/>
  <c r="V9" i="16"/>
  <c r="V10" i="16"/>
  <c r="U9" i="17"/>
  <c r="U31" i="17" s="1"/>
  <c r="L20" i="2"/>
  <c r="X10" i="21"/>
  <c r="X19" i="16"/>
  <c r="L12" i="2"/>
  <c r="S17" i="17"/>
  <c r="S16" i="17"/>
  <c r="X22" i="16"/>
  <c r="L22" i="2"/>
  <c r="X12" i="17"/>
  <c r="BH22" i="11"/>
  <c r="BL17" i="11"/>
  <c r="BJ17" i="11"/>
  <c r="AO25" i="17"/>
  <c r="BM21" i="11"/>
  <c r="BG17" i="11"/>
  <c r="BI29" i="11"/>
  <c r="S10" i="17"/>
  <c r="AO29" i="17"/>
  <c r="AQ10" i="21"/>
  <c r="BH10" i="11"/>
  <c r="Q18" i="17"/>
  <c r="T16" i="11"/>
  <c r="S28" i="17"/>
  <c r="BU12" i="17"/>
  <c r="V12" i="16"/>
  <c r="BU18" i="17"/>
  <c r="BV10" i="16"/>
  <c r="U10" i="17"/>
  <c r="BW16" i="20"/>
  <c r="BV16" i="16"/>
  <c r="BW12" i="20"/>
  <c r="BV12" i="16"/>
  <c r="BW18" i="20"/>
  <c r="BV18" i="16"/>
  <c r="BV19" i="16"/>
  <c r="BW20" i="20"/>
  <c r="T16" i="16"/>
  <c r="BL29" i="11"/>
  <c r="AZ9" i="11"/>
  <c r="AZ31" i="11" s="1"/>
  <c r="BG19" i="11"/>
  <c r="BL25" i="11"/>
  <c r="V20" i="11"/>
  <c r="R25" i="14"/>
  <c r="AP16" i="20"/>
  <c r="BJ16" i="11"/>
  <c r="V9" i="11"/>
  <c r="BM12" i="11"/>
  <c r="V11" i="11"/>
  <c r="BF10" i="11"/>
  <c r="V11" i="16"/>
  <c r="BJ22" i="11"/>
  <c r="I13" i="14"/>
  <c r="BG17" i="13"/>
  <c r="BK11" i="11"/>
  <c r="V12" i="21"/>
  <c r="AZ19" i="11"/>
  <c r="BK29" i="11"/>
  <c r="BG22" i="11"/>
  <c r="BG20" i="11"/>
  <c r="BF18" i="11"/>
  <c r="BF28" i="11"/>
  <c r="Q18" i="20"/>
  <c r="Q23" i="20" s="1"/>
  <c r="BH16" i="16"/>
  <c r="BG25" i="11"/>
  <c r="BF13" i="11"/>
  <c r="V16" i="1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6"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<sst xmlns="http://schemas.openxmlformats.org/spreadsheetml/2006/main" count="2672" uniqueCount="1184">
  <si>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</si>
  <si>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</si>
  <si>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</si>
  <si>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</si>
  <si>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</si>
  <si>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</si>
  <si>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</si>
  <si>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</si>
  <si>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</si>
  <si>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</si>
  <si>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</si>
  <si>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</si>
  <si>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</si>
  <si>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</si>
  <si>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</si>
  <si>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</si>
  <si>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</si>
  <si>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</si>
  <si>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</si>
  <si>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</si>
  <si>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</si>
  <si>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</si>
  <si>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</si>
  <si>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</si>
  <si>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</si>
  <si>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</si>
  <si>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</si>
  <si>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</si>
  <si>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</si>
  <si>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</si>
  <si>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</si>
  <si>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</si>
  <si>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</si>
  <si>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</si>
  <si>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</si>
  <si>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</si>
  <si>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</si>
  <si>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</si>
  <si>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</si>
  <si>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</si>
  <si>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</si>
  <si>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</si>
  <si>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</si>
  <si>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</si>
  <si>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</si>
  <si>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</si>
  <si>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</si>
  <si>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</si>
  <si>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</si>
  <si>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</si>
  <si>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</si>
  <si>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</si>
  <si>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</si>
  <si>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</si>
  <si>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</si>
  <si>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</si>
  <si>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</si>
  <si>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</si>
  <si>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</si>
  <si>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</si>
  <si>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</si>
  <si>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</si>
  <si>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</si>
  <si>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</si>
  <si>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</si>
  <si>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</si>
  <si>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</si>
  <si>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</si>
  <si>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</si>
  <si>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</si>
  <si>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</si>
  <si>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</si>
  <si>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</si>
  <si>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</si>
  <si>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</si>
  <si>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</si>
  <si>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</si>
  <si>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</si>
  <si>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</si>
  <si>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</si>
  <si>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</si>
  <si>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</si>
  <si>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</si>
  <si>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</si>
  <si>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</si>
  <si>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</si>
  <si>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</si>
  <si>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</si>
  <si>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</si>
  <si>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</si>
  <si>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</si>
  <si>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</si>
  <si>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</si>
  <si>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</si>
  <si>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</si>
  <si>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</si>
  <si>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</si>
  <si>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</si>
  <si>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</si>
  <si>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</si>
  <si>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</si>
  <si>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</si>
  <si>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</si>
  <si>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</si>
  <si>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</si>
  <si>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</si>
  <si>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</si>
  <si>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</si>
  <si>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</si>
  <si>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</si>
  <si>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</si>
  <si>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</si>
  <si>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</si>
  <si>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</si>
  <si>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</si>
  <si>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</si>
  <si>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</si>
  <si>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</si>
  <si>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</si>
  <si>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</si>
  <si>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</si>
  <si>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</si>
  <si>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</si>
  <si>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</si>
  <si>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</si>
  <si>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</si>
  <si>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</si>
  <si>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</si>
  <si>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</si>
  <si>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</si>
  <si>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</si>
  <si>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</si>
  <si>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</si>
  <si>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</si>
  <si>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</si>
  <si>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</si>
  <si>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</si>
  <si>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</si>
  <si>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</si>
  <si>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</si>
  <si>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</si>
  <si>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</si>
  <si>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</si>
  <si>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</si>
  <si>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</si>
  <si>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</si>
  <si>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</si>
  <si>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</si>
  <si>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</si>
  <si>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</si>
  <si>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</si>
  <si>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</si>
  <si>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</si>
  <si>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</si>
  <si>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</si>
  <si>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</si>
  <si>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</si>
  <si>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</si>
  <si>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</si>
  <si>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</si>
  <si>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</si>
  <si>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</si>
  <si>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</si>
  <si>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</si>
  <si>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</si>
  <si>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</si>
  <si>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</si>
  <si>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</si>
  <si>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</si>
  <si>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</si>
  <si>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</si>
  <si>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</si>
  <si>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</si>
  <si>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</si>
  <si>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</si>
  <si>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</si>
  <si>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</si>
  <si>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</si>
  <si>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</si>
  <si>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</si>
  <si>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</si>
  <si>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</si>
  <si>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</si>
  <si>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</si>
  <si>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</si>
  <si>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</si>
  <si>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</si>
  <si>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</si>
  <si>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</si>
  <si>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</si>
  <si>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</si>
  <si>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</si>
  <si>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</si>
  <si>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</si>
  <si>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</si>
  <si>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</si>
  <si>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</si>
  <si>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</si>
  <si>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</si>
  <si>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</si>
  <si>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</si>
  <si>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</si>
  <si>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</si>
  <si>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</si>
  <si>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</si>
  <si>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</si>
  <si>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</si>
  <si>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</si>
  <si>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</si>
  <si>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</si>
  <si>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</si>
  <si>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</si>
  <si>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</si>
  <si>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</si>
  <si>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</si>
  <si>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</si>
  <si>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</si>
  <si>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</si>
  <si>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</si>
  <si>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</si>
  <si>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</si>
  <si>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</si>
  <si>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</si>
  <si>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</si>
  <si>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</si>
  <si>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</si>
  <si>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</si>
  <si>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</si>
  <si>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</si>
  <si>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</si>
  <si>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</si>
  <si>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</si>
  <si>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</si>
  <si>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</si>
  <si>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</si>
  <si>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</si>
  <si>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</si>
  <si>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</si>
  <si>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</si>
  <si>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</si>
  <si>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</si>
  <si>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</si>
  <si>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</si>
  <si>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</si>
  <si>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</si>
  <si>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</si>
  <si>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</si>
  <si>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</si>
  <si>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</si>
  <si>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</si>
  <si>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</si>
  <si>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</si>
  <si>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</si>
  <si>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</si>
  <si>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</si>
  <si>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</si>
  <si>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</si>
  <si>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</si>
  <si>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</si>
  <si>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</si>
  <si>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</si>
  <si>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</si>
  <si>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</si>
  <si>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</si>
  <si>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</si>
  <si>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</si>
  <si>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</si>
  <si>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</si>
  <si>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</si>
  <si>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</si>
  <si>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</si>
  <si>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</si>
  <si>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</si>
  <si>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</si>
  <si>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</si>
  <si>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</si>
  <si>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</si>
  <si>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</si>
  <si>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</si>
  <si>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</si>
  <si>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</si>
  <si>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</si>
  <si>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</si>
  <si>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</si>
  <si>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</si>
  <si>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</si>
  <si>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</si>
  <si>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</si>
  <si>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</si>
  <si>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</si>
  <si>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</si>
  <si>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</si>
  <si>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</si>
  <si>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</si>
  <si>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</si>
  <si>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</si>
  <si>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</si>
  <si>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</si>
  <si>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</si>
  <si>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</si>
  <si>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</si>
  <si>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</si>
  <si>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</si>
  <si>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</si>
  <si>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</si>
  <si>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</si>
  <si>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</si>
  <si>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</si>
  <si>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</si>
  <si>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</si>
  <si>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</si>
  <si>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</si>
  <si>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</si>
  <si>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</si>
  <si>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</si>
  <si>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</si>
  <si>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</si>
  <si>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</si>
  <si>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</si>
  <si>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</si>
  <si>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</si>
  <si>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</si>
  <si>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</si>
  <si>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</si>
  <si>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</si>
  <si>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</si>
  <si>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</si>
  <si>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</si>
  <si>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</si>
  <si>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</si>
  <si>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</si>
  <si>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</si>
  <si>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</si>
  <si>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</si>
  <si>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</si>
  <si>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</si>
  <si>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</si>
  <si>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</si>
  <si>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</si>
  <si>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</si>
  <si>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</si>
  <si>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</si>
  <si>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</si>
  <si>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</si>
  <si>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</si>
  <si>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</si>
  <si>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</si>
  <si>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</si>
  <si>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</si>
  <si>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</si>
  <si>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</si>
  <si>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</si>
  <si>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</si>
  <si>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</si>
  <si>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</si>
  <si>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</si>
  <si>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</si>
  <si>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</si>
  <si>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</si>
  <si>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</si>
  <si>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</si>
  <si>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</si>
  <si>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</si>
  <si>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</si>
  <si>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</si>
  <si>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</si>
  <si>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</si>
  <si>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</si>
  <si>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</si>
  <si>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</si>
  <si>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</si>
  <si>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</si>
  <si>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</si>
  <si>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</si>
  <si>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</si>
  <si>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</si>
  <si>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</si>
  <si>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</si>
  <si>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</si>
  <si>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</si>
  <si>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</si>
  <si>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</si>
  <si>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</si>
  <si>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</si>
  <si>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</si>
  <si>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</si>
  <si>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</si>
  <si>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</si>
  <si>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</si>
  <si>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</si>
  <si>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</si>
  <si>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</si>
  <si>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</si>
  <si>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</si>
  <si>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</si>
  <si>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</si>
  <si>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</si>
  <si>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</si>
  <si>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</si>
  <si>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</si>
  <si>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</si>
  <si>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</si>
  <si>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</si>
  <si>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</si>
  <si>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</si>
  <si>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</si>
  <si>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</si>
  <si>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</si>
  <si>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</si>
  <si>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</si>
  <si>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</si>
  <si>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</si>
  <si>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</si>
  <si>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</si>
  <si>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</si>
  <si>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</si>
  <si>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</si>
  <si>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</si>
  <si>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</si>
  <si>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</si>
  <si>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</si>
  <si>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</si>
  <si>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</si>
  <si>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</si>
  <si>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</si>
  <si>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</si>
  <si>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</si>
  <si>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</si>
  <si>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</si>
  <si>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</si>
  <si>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</si>
  <si>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</si>
  <si>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</si>
  <si>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</si>
  <si>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</si>
  <si>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</si>
  <si>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</si>
  <si>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</si>
  <si>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</si>
  <si>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</si>
  <si>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</si>
  <si>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</si>
  <si>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</si>
  <si>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</si>
  <si>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</si>
  <si>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</si>
  <si>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</si>
  <si>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</si>
  <si>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</si>
  <si>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</si>
  <si>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</si>
  <si>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</si>
  <si>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</si>
  <si>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</si>
  <si>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</si>
  <si>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</si>
  <si>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</si>
  <si>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</si>
  <si>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</si>
  <si>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</si>
  <si>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</si>
  <si>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</si>
  <si>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</si>
  <si>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</si>
  <si>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</si>
  <si>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</si>
  <si>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</si>
  <si>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</si>
  <si>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</si>
  <si>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</si>
  <si>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</si>
  <si>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</si>
  <si>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</si>
  <si>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</si>
  <si>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</si>
  <si>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</si>
  <si>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</si>
  <si>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</si>
  <si>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</si>
  <si>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</si>
  <si>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</si>
  <si>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</si>
  <si>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</si>
  <si>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</si>
  <si>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</si>
  <si>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</si>
  <si>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</si>
  <si>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</si>
  <si>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</si>
  <si>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</si>
  <si>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</si>
  <si>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</si>
  <si>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</si>
  <si>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</si>
  <si>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</si>
  <si>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</si>
  <si>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</si>
  <si>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</si>
  <si>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</si>
  <si>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</si>
  <si>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</si>
  <si>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</si>
  <si>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</si>
  <si>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</si>
  <si>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</si>
  <si>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</si>
  <si>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</si>
  <si>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</si>
  <si>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</si>
  <si>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</si>
  <si>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</si>
  <si>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</si>
  <si>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</si>
  <si>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</si>
  <si>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</si>
  <si>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</si>
  <si>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</si>
  <si>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</si>
  <si>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</si>
  <si>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</si>
  <si>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</si>
  <si>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</si>
  <si>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</si>
  <si>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</si>
  <si>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</si>
  <si>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</si>
  <si>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</si>
  <si>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</si>
  <si>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</si>
  <si>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</si>
  <si>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</si>
  <si>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</si>
  <si>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</si>
  <si>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</si>
  <si>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</si>
  <si>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</si>
  <si>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</si>
  <si>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</si>
  <si>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</si>
  <si>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</si>
  <si>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</si>
  <si>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</si>
  <si>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</si>
  <si>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</si>
  <si>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</si>
  <si>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</si>
  <si>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</si>
  <si>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</si>
  <si>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</si>
  <si>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</si>
  <si>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</si>
  <si>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</si>
  <si>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</si>
  <si>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</si>
  <si>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</si>
  <si>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</si>
  <si>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</si>
  <si>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</si>
  <si>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</si>
  <si>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</si>
  <si>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</si>
  <si>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</si>
  <si>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</si>
  <si>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</si>
  <si>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</si>
  <si>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</si>
  <si>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</si>
  <si>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</si>
  <si>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</si>
  <si>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</si>
  <si>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</si>
  <si>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</si>
  <si>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</si>
  <si>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</si>
  <si>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</si>
  <si>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</si>
  <si>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</si>
  <si>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</si>
  <si>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</si>
  <si>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</si>
  <si>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</si>
  <si>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</si>
  <si>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</si>
  <si>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</si>
  <si>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</si>
  <si>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</si>
  <si>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</si>
  <si>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</si>
  <si>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</si>
  <si>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</si>
  <si>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</si>
  <si>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</si>
  <si>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</si>
  <si>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</si>
  <si>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</si>
  <si>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</si>
  <si>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</si>
  <si>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</si>
  <si>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</si>
  <si>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</si>
  <si>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</si>
  <si>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</si>
  <si>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</si>
  <si>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</si>
  <si>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</si>
  <si>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</si>
  <si>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</si>
  <si>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</si>
  <si>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</si>
  <si>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</si>
  <si>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</si>
  <si>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</si>
  <si>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</si>
  <si>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</si>
  <si>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</si>
  <si>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</si>
  <si>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</si>
  <si>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</si>
  <si>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</si>
  <si>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</si>
  <si>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</si>
  <si>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</si>
  <si>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</si>
  <si>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</si>
  <si>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</si>
  <si>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</si>
  <si>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</si>
  <si>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</si>
  <si>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</si>
  <si>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</si>
  <si>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</si>
  <si>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</si>
  <si>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</si>
  <si>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</si>
  <si>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</si>
  <si>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</si>
  <si>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</si>
  <si>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</si>
  <si>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</si>
  <si>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</si>
  <si>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</si>
  <si>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</si>
  <si>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</si>
  <si>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</si>
  <si>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</si>
  <si>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</si>
  <si>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</si>
  <si>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</si>
  <si>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</si>
  <si>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</si>
  <si>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</si>
  <si>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</si>
  <si>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</si>
  <si>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</si>
  <si>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</si>
  <si>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</si>
  <si>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</si>
  <si>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</si>
  <si>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</si>
  <si>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</si>
  <si>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</si>
  <si>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</si>
  <si>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</si>
  <si>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</si>
  <si>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</si>
  <si>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</si>
  <si>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</si>
  <si>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</si>
  <si>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</si>
  <si>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</si>
  <si>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</si>
  <si>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</si>
  <si>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</si>
  <si>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</si>
  <si>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</si>
  <si>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</si>
  <si>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</si>
  <si>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</si>
  <si>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</si>
  <si>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</si>
  <si>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</si>
  <si>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</si>
  <si>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</si>
  <si>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</si>
  <si>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</si>
  <si>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</si>
  <si>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</si>
  <si>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</si>
  <si>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</si>
  <si>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</si>
  <si>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</si>
  <si>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</si>
  <si>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</si>
  <si>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</si>
  <si>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</si>
  <si>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</si>
  <si>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</si>
  <si>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</si>
  <si>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</si>
  <si>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</si>
  <si>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</si>
  <si>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</si>
  <si>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</si>
  <si>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</si>
  <si>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</si>
  <si>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</si>
  <si>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</si>
  <si>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</si>
  <si>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</si>
  <si>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</si>
  <si>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</si>
  <si>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</si>
  <si>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</si>
  <si>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</si>
  <si>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</si>
  <si>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</si>
  <si>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</si>
  <si>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</si>
  <si>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</si>
  <si>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</si>
  <si>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</si>
  <si>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</si>
  <si>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</si>
  <si>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</si>
  <si>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</si>
  <si>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</si>
  <si>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</si>
  <si>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</si>
  <si>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</si>
  <si>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</si>
  <si>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</si>
  <si>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</si>
  <si>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</si>
  <si>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</si>
  <si>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</si>
  <si>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</si>
  <si>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</si>
  <si>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</si>
  <si>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</si>
  <si>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</si>
  <si>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</si>
  <si>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</si>
  <si>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</si>
  <si>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</si>
  <si>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</si>
  <si>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</si>
  <si>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</si>
  <si>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</si>
  <si>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</si>
  <si>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</si>
  <si>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</si>
  <si>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</si>
  <si>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</si>
  <si>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</si>
  <si>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</si>
  <si>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</si>
  <si>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</si>
  <si>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</si>
  <si>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</si>
  <si>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</si>
  <si>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</si>
  <si>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</si>
  <si>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</si>
  <si>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</si>
  <si>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</si>
  <si>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</si>
  <si>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</si>
  <si>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</si>
  <si>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</si>
  <si>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</si>
  <si>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</si>
  <si>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</si>
  <si>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</si>
  <si>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</si>
  <si>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</si>
  <si>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</si>
  <si>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</si>
  <si>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</si>
  <si>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</si>
  <si>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</si>
  <si>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</si>
  <si>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</si>
  <si>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</si>
  <si>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</si>
  <si>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</si>
  <si>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</si>
  <si>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</si>
  <si>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</si>
  <si>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</si>
  <si>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</si>
  <si>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</si>
  <si>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</si>
  <si>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</si>
  <si>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</si>
  <si>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</si>
  <si>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</si>
  <si>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</si>
  <si>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</si>
  <si>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</si>
  <si>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</si>
  <si>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</si>
  <si>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</si>
  <si>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</si>
  <si>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</si>
  <si>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</si>
  <si>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</si>
  <si>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</si>
  <si>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</si>
  <si>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</si>
  <si>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</si>
  <si>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</si>
  <si>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</si>
  <si>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</si>
  <si>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</si>
  <si>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</si>
  <si>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</si>
  <si>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</si>
  <si>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</si>
  <si>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</si>
  <si>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</si>
  <si>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</si>
  <si>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</si>
  <si>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</si>
  <si>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</si>
  <si>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</si>
  <si>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</si>
  <si>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</si>
  <si>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</si>
  <si>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</si>
  <si>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</si>
  <si>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</si>
  <si>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</si>
  <si>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</si>
  <si>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</si>
  <si>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</si>
  <si>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</si>
  <si>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</si>
  <si>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</si>
  <si>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</si>
  <si>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</si>
  <si>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</si>
  <si>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</si>
  <si>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</si>
  <si>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</si>
  <si>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</si>
  <si>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</si>
  <si>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</si>
  <si>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</si>
  <si>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</si>
  <si>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</si>
  <si>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</si>
  <si>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</si>
  <si>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</si>
  <si>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</si>
  <si>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</si>
  <si>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</si>
  <si>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</si>
  <si>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</si>
  <si>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</si>
  <si>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</si>
  <si>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</si>
  <si>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</si>
  <si>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</si>
  <si>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</si>
  <si>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</si>
  <si>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</si>
  <si>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</si>
  <si>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</si>
  <si>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</si>
  <si>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</si>
  <si>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</si>
  <si>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</si>
  <si>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</si>
  <si>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</si>
  <si>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</si>
  <si>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</si>
  <si>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</si>
  <si>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</si>
  <si>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</si>
  <si>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</si>
  <si>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</si>
  <si>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</si>
  <si>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</si>
  <si>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</si>
  <si>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</si>
  <si>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</si>
  <si>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</si>
  <si>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</si>
  <si>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</si>
  <si>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</si>
  <si>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</si>
  <si>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</si>
  <si>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</si>
  <si>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</si>
  <si>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</si>
  <si>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</si>
  <si>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</si>
  <si>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</si>
  <si>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</si>
  <si>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</si>
  <si>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</si>
  <si>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</si>
  <si>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</si>
  <si>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</si>
  <si>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</si>
  <si>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</si>
  <si>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</si>
  <si>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</si>
  <si>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</si>
  <si>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</si>
  <si>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</si>
  <si>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</si>
  <si>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</si>
  <si>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</si>
  <si>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</si>
  <si>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</si>
  <si>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</si>
  <si>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</si>
  <si>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</si>
  <si>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</si>
  <si>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</si>
  <si>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</si>
  <si>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</si>
  <si>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</si>
  <si>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</si>
  <si>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</si>
  <si>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</si>
  <si>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</si>
  <si>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</si>
  <si>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</si>
  <si>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</si>
  <si>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</si>
  <si>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</si>
  <si>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</si>
  <si>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</si>
  <si>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</si>
  <si>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</si>
  <si>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</si>
  <si>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</si>
  <si>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</si>
  <si>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</si>
  <si>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</si>
  <si>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</si>
  <si>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</si>
  <si>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</si>
  <si>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</si>
  <si>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</si>
  <si>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</si>
  <si>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</si>
  <si>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</si>
  <si>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</si>
  <si>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</si>
  <si>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</si>
  <si>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</si>
  <si>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</si>
  <si>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</si>
  <si>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</si>
  <si>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</si>
  <si>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</si>
  <si>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</si>
  <si>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</si>
  <si>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</si>
  <si>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</si>
  <si>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</si>
  <si>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</si>
  <si>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</si>
  <si>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</si>
  <si>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</si>
  <si>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</si>
  <si>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</si>
  <si>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</si>
  <si>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</si>
  <si>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</si>
  <si>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</si>
  <si>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</si>
  <si>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</si>
  <si>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</si>
  <si>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</si>
  <si>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</si>
  <si>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</si>
  <si>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</si>
  <si>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</si>
  <si>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</si>
  <si>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</si>
  <si>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</si>
  <si>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</si>
  <si>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</si>
  <si>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</si>
  <si>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</si>
  <si>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</si>
  <si>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</si>
  <si>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</si>
  <si>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</si>
  <si>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</si>
  <si>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</si>
  <si>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</si>
  <si>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</si>
  <si>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</si>
  <si>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</si>
  <si>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</si>
  <si>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</si>
  <si>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</si>
  <si>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</si>
  <si>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</si>
  <si>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</si>
  <si>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</si>
  <si>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</si>
  <si>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</si>
  <si>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</si>
  <si>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</si>
  <si>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</si>
  <si>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</si>
  <si>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</si>
  <si>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</si>
  <si>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</si>
  <si>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</si>
  <si>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</si>
  <si>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</si>
  <si>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</si>
  <si>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</si>
  <si>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</si>
  <si>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</si>
  <si>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</si>
  <si>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</si>
  <si>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</si>
  <si>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</si>
  <si>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</si>
  <si>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</si>
  <si>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</si>
  <si>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</si>
  <si>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</si>
  <si>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</si>
  <si>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</si>
  <si>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</si>
  <si>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</si>
  <si>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</si>
  <si>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</si>
  <si>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</si>
  <si>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</si>
  <si>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</si>
  <si>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</si>
  <si>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</si>
  <si>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</si>
  <si>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</si>
  <si>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</si>
  <si>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</si>
  <si>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</si>
  <si>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</si>
  <si>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</si>
  <si>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</si>
  <si>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</si>
  <si>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</si>
  <si>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</si>
  <si>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</si>
  <si>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</si>
  <si>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</si>
  <si>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</si>
  <si>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</si>
  <si>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</si>
  <si>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</si>
  <si>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</si>
  <si>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</si>
  <si>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</si>
  <si>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</si>
  <si>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</si>
  <si>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</si>
  <si>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</si>
  <si>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</si>
  <si>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</si>
  <si>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</si>
  <si>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</si>
  <si>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</si>
  <si>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</si>
  <si>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</si>
  <si>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</si>
  <si>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</si>
  <si>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</si>
  <si>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</si>
  <si>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</si>
  <si>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</si>
  <si>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</si>
  <si>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</si>
  <si>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</si>
  <si>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</si>
  <si>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</si>
  <si>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</si>
  <si>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</si>
  <si>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</si>
  <si>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</si>
  <si>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</si>
  <si>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</si>
  <si>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</si>
  <si>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</si>
  <si>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</si>
  <si>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</si>
  <si>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</si>
  <si>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</si>
  <si>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</si>
  <si>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</si>
  <si>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</si>
  <si>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</si>
  <si>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</si>
  <si>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</si>
  <si>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</si>
  <si>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</si>
  <si>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</si>
  <si>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</si>
  <si>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</si>
  <si>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</si>
  <si>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</si>
  <si>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</si>
  <si>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</si>
  <si>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</si>
  <si>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</si>
  <si>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</si>
  <si>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</si>
  <si>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</si>
  <si>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</si>
  <si>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</si>
  <si>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</si>
  <si>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</si>
  <si>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</si>
  <si>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</si>
  <si>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</si>
  <si>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</si>
  <si>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</si>
  <si>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</si>
  <si>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</si>
  <si>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</si>
  <si>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</si>
  <si>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</si>
  <si>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</si>
  <si>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</si>
  <si>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</si>
  <si>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</si>
  <si>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</si>
  <si>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</si>
  <si>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</si>
  <si>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</si>
  <si>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</si>
  <si>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</si>
  <si>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</si>
  <si>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</si>
  <si>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</si>
  <si>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</si>
  <si>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</si>
  <si>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</si>
  <si>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</si>
  <si>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</si>
  <si>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</si>
  <si>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</si>
  <si>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</si>
  <si>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</si>
  <si>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</si>
  <si>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</si>
  <si>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</si>
  <si>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</si>
  <si>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</si>
  <si>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</si>
  <si>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</si>
  <si>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</si>
  <si>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</si>
  <si>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</si>
  <si>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</si>
  <si>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</si>
  <si>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</si>
  <si>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</si>
  <si>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</si>
  <si>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</si>
  <si>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</si>
  <si>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</si>
  <si>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</si>
  <si>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</si>
  <si>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</si>
  <si>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</si>
  <si>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</si>
  <si>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</si>
  <si>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</si>
  <si>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</si>
  <si>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</si>
  <si>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</si>
  <si>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</si>
  <si>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</si>
  <si>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CEUTA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</si>
</sst>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1177</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545</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1183</v>
      </c>
      <c r="C11" s="429"/>
      <c r="D11" s="429"/>
      <c r="E11" s="430"/>
      <c r="F11" s="3"/>
    </row>
    <row r="12" spans="1:19" ht="40.5" customHeight="1" thickBot="1">
      <c r="A12" s="420"/>
      <c r="B12" s="418"/>
      <c r="C12" s="418"/>
      <c r="D12" s="418"/>
      <c r="E12" s="418"/>
      <c r="F12" s="3"/>
      <c r="Q12" s="1471"/>
    </row>
    <row r="13" spans="1:19" ht="15">
      <c r="A13" s="431" t="s">
        <v>168</v>
      </c>
      <c r="B13" s="432" t="s">
        <v>87</v>
      </c>
      <c r="C13" s="1079" t="s">
        <v>932</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YK/T6rWYb2vp4Wvk31WiNiom59aH4F6iz9RDKgtqSK7aExPlVfQHgv+BVGcMmq7Y5SWxWMnyvZnMMoAjwsGvw==" saltValue="DJ6hyYwwbk+o3bPkfZRh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468</v>
      </c>
      <c r="E3" s="580"/>
    </row>
    <row r="4" spans="1:31" s="533" customFormat="1" ht="15.75" thickBot="1">
      <c r="A4" s="1449" t="s">
        <v>473</v>
      </c>
      <c r="B4" s="1460" t="str">
        <f>Criterios!B9</f>
        <v>ANDALUCIA</v>
      </c>
      <c r="C4" s="1450"/>
      <c r="D4" s="1450"/>
      <c r="E4" s="1451"/>
      <c r="F4" s="1450"/>
      <c r="G4" s="664"/>
      <c r="H4" s="1732" t="s">
        <v>474</v>
      </c>
      <c r="I4" s="1733"/>
      <c r="J4" s="1733"/>
      <c r="K4" s="1733"/>
      <c r="L4" s="1733"/>
      <c r="M4" s="1452"/>
      <c r="N4" s="1732" t="s">
        <v>475</v>
      </c>
      <c r="O4" s="1733"/>
      <c r="P4" s="1733"/>
      <c r="Q4" s="1733"/>
      <c r="R4" s="1733"/>
      <c r="S4" s="1733"/>
      <c r="T4" s="1733"/>
      <c r="U4" s="1733"/>
      <c r="V4" s="1733"/>
      <c r="W4" s="1733"/>
      <c r="X4" s="1733"/>
      <c r="Y4" s="1733"/>
      <c r="Z4" s="1733"/>
      <c r="AA4" s="1733"/>
      <c r="AB4" s="1733"/>
      <c r="AC4" s="1733"/>
      <c r="AD4" s="1734"/>
    </row>
    <row r="5" spans="1:31" s="533" customFormat="1" ht="15.75" customHeight="1">
      <c r="A5" s="1716" t="s">
        <v>464</v>
      </c>
      <c r="B5" s="1718" t="str">
        <f>"Año:  " &amp;Criterios!B5 &amp; "      Trimestre   " &amp;Criterios!D5 &amp; " al " &amp;Criterios!D6</f>
        <v>Año:  2022      Trimestre   3 al 3</v>
      </c>
      <c r="C5" s="1706" t="s">
        <v>337</v>
      </c>
      <c r="D5" s="1708" t="s">
        <v>173</v>
      </c>
      <c r="E5" s="1708" t="s">
        <v>126</v>
      </c>
      <c r="F5" s="1712" t="s">
        <v>14</v>
      </c>
      <c r="G5" s="1711"/>
      <c r="H5" s="1735" t="s">
        <v>469</v>
      </c>
      <c r="I5" s="1714" t="s">
        <v>471</v>
      </c>
      <c r="J5" s="1735" t="s">
        <v>470</v>
      </c>
      <c r="K5" s="1710" t="s">
        <v>387</v>
      </c>
      <c r="L5" s="1710" t="s">
        <v>472</v>
      </c>
      <c r="M5" s="1710" t="s">
        <v>466</v>
      </c>
      <c r="N5" s="1722"/>
      <c r="O5" s="1723"/>
      <c r="P5" s="578"/>
      <c r="Q5" s="1726" t="s">
        <v>597</v>
      </c>
      <c r="R5" s="1727"/>
      <c r="S5" s="1728"/>
      <c r="T5" s="1738"/>
      <c r="U5" s="1739"/>
      <c r="V5" s="1740"/>
      <c r="W5" s="1726" t="s">
        <v>348</v>
      </c>
      <c r="X5" s="1727"/>
      <c r="Y5" s="1727"/>
      <c r="Z5" s="1728"/>
      <c r="AA5" s="1726" t="s">
        <v>592</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507</v>
      </c>
      <c r="P7" s="1456" t="s">
        <v>508</v>
      </c>
      <c r="Q7" s="1457" t="s">
        <v>509</v>
      </c>
      <c r="R7" s="1456" t="s">
        <v>500</v>
      </c>
      <c r="S7" s="1457" t="s">
        <v>1095</v>
      </c>
      <c r="T7" s="1523" t="s">
        <v>1096</v>
      </c>
      <c r="U7" s="1523" t="s">
        <v>1097</v>
      </c>
      <c r="V7" s="1523" t="s">
        <v>1098</v>
      </c>
      <c r="W7" s="1455" t="s">
        <v>593</v>
      </c>
      <c r="X7" s="1549" t="s">
        <v>1120</v>
      </c>
      <c r="Y7" s="1549" t="s">
        <v>1121</v>
      </c>
      <c r="Z7" s="1550" t="s">
        <v>1122</v>
      </c>
      <c r="AA7" s="1458" t="s">
        <v>593</v>
      </c>
      <c r="AB7" s="1547" t="s">
        <v>594</v>
      </c>
      <c r="AC7" s="1547" t="s">
        <v>1123</v>
      </c>
      <c r="AD7" s="1548" t="s">
        <v>1124</v>
      </c>
      <c r="AE7" s="1459" t="s">
        <v>1093</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27</v>
      </c>
      <c r="D10" s="239">
        <f>IF(ISNUMBER(Datos!I10),Datos!I10," - ")</f>
        <v>27</v>
      </c>
      <c r="E10" s="240">
        <f>IF(ISNUMBER(Datos!J10),Datos!J10," - ")</f>
        <v>8</v>
      </c>
      <c r="F10" s="240">
        <f>IF(ISNUMBER(Datos!K10),Datos!K10," - ")</f>
        <v>6</v>
      </c>
      <c r="G10" s="1390" t="str">
        <f>IF(Datos!E10&lt;&gt;"",Datos!E10,Datos!D10)</f>
        <v>37</v>
      </c>
      <c r="H10" s="241">
        <f>IF(ISNUMBER(Datos!L10),Datos!L10," - ")</f>
        <v>29</v>
      </c>
      <c r="I10" s="1400" t="str">
        <f>IF(ISNUMBER(Datos!AS10/Datos!BM10),Datos!AS10/Datos!BM10," - ")</f>
        <v xml:space="preserve"> - </v>
      </c>
      <c r="J10" s="1401">
        <f>IF(ISNUMBER(Datos!BY10/Datos!CN10),Datos!BY10/Datos!CN10," - ")</f>
        <v>0</v>
      </c>
      <c r="K10" s="244">
        <f t="shared" ref="K10:K13" si="1">IF(ISNUMBER((E10-F10)/C10),(E10-F10)/C10," - ")</f>
        <v>7.407407407407407E-2</v>
      </c>
      <c r="L10" s="1402">
        <f>IF(ISNUMBER(NºAsuntos!I10/NºAsuntos!G10),(NºAsuntos!I10/NºAsuntos!G10)*11," - ")</f>
        <v>53.166666666666664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23.559598494353828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27</v>
      </c>
      <c r="D14" s="1407">
        <f>SUBTOTAL(9,D9:D13)</f>
        <v>27</v>
      </c>
      <c r="E14" s="1408">
        <f>SUBTOTAL(9,E9:E13)</f>
        <v>8</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558</v>
      </c>
      <c r="D17" s="239">
        <f>IF(ISNUMBER(IF(D_I="SI",Datos!I17,Datos!I17+Datos!AC17)),IF(D_I="SI",Datos!I17,Datos!I17+Datos!AC17)," - ")</f>
        <v>550</v>
      </c>
      <c r="E17" s="240">
        <f>IF(ISNUMBER(IF(D_I="SI",Datos!J17,Datos!J17+Datos!AD17)),IF(D_I="SI",Datos!J17,Datos!J17+Datos!AD17)," - ")</f>
        <v>1637</v>
      </c>
      <c r="F17" s="240">
        <f>IF(ISNUMBER(IF(D_I="SI",Datos!K17,Datos!K17+Datos!AE17)),IF(D_I="SI",Datos!K17,Datos!K17+Datos!AE17)," - ")</f>
        <v>1536</v>
      </c>
      <c r="G17" s="1390" t="str">
        <f>IF(Datos!E17&lt;&gt;"",Datos!E17,Datos!D17)</f>
        <v>04</v>
      </c>
      <c r="H17" s="241">
        <f>IF(ISNUMBER(IF(D_I="SI",Datos!L17,Datos!L17+Datos!AF17)),IF(D_I="SI",Datos!L17,Datos!L17+Datos!AF17)," - ")</f>
        <v>659</v>
      </c>
      <c r="I17" s="1400" t="str">
        <f>IF(ISNUMBER(Datos!AS17/Datos!BM17),Datos!AS17/Datos!BM17," - ")</f>
        <v xml:space="preserve"> - </v>
      </c>
      <c r="J17" s="1401">
        <f>IF(ISNUMBER(Datos!BY17/Datos!CN17),Datos!BY17/Datos!CN17," - ")</f>
        <v>0</v>
      </c>
      <c r="K17" s="244">
        <f t="shared" si="3"/>
        <v>0.18100358422939067</v>
      </c>
      <c r="L17" s="1402">
        <f>IF(ISNUMBER(NºAsuntos!I17/NºAsuntos!G17),(NºAsuntos!I17/NºAsuntos!G17)*11," - ")</f>
        <v>4.7194010416666661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64</v>
      </c>
      <c r="D18" s="239">
        <f>IF(ISNUMBER(IF(D_I="SI",Datos!I18,Datos!I18+Datos!AC18)),IF(D_I="SI",Datos!I18,Datos!I18+Datos!AC18)," - ")</f>
        <v>64</v>
      </c>
      <c r="E18" s="240">
        <f>IF(ISNUMBER(IF(D_I="SI",Datos!J18,Datos!J18+Datos!AD18)),IF(D_I="SI",Datos!J18,Datos!J18+Datos!AD18)," - ")</f>
        <v>127</v>
      </c>
      <c r="F18" s="240">
        <f>IF(ISNUMBER(IF(D_I="SI",Datos!K18,Datos!K18+Datos!AE18)),IF(D_I="SI",Datos!K18,Datos!K18+Datos!AE18)," - ")</f>
        <v>109</v>
      </c>
      <c r="G18" s="1390" t="str">
        <f>IF(Datos!E18&lt;&gt;"",Datos!E18,Datos!D18)</f>
        <v>37</v>
      </c>
      <c r="H18" s="241">
        <f>IF(ISNUMBER(IF(D_I="SI",Datos!L18,Datos!L18+Datos!AF18)),IF(D_I="SI",Datos!L18,Datos!L18+Datos!AF18)," - ")</f>
        <v>82</v>
      </c>
      <c r="I18" s="1400" t="str">
        <f>IF(ISNUMBER(Datos!AS18/Datos!BM18),Datos!AS18/Datos!BM18," - ")</f>
        <v xml:space="preserve"> - </v>
      </c>
      <c r="J18" s="1401" t="str">
        <f>IF(ISNUMBER((Datos!BY18+Datos!BZ18)/Datos!CN18),(Datos!BY18+Datos!BZ18)/Datos!CN18," - ")</f>
        <v xml:space="preserve"> - </v>
      </c>
      <c r="K18" s="244">
        <f t="shared" si="3"/>
        <v>0.28125</v>
      </c>
      <c r="L18" s="1402">
        <f>IF(ISNUMBER(NºAsuntos!I18/NºAsuntos!G18),(NºAsuntos!I18/NºAsuntos!G18)*11," - ")</f>
        <v>8.2752293577981657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1</v>
      </c>
      <c r="B21" s="1461" t="str">
        <f>Datos!A21</f>
        <v xml:space="preserve">Jdos. de lo Penal                               </v>
      </c>
      <c r="C21" s="239">
        <f t="shared" si="2"/>
        <v>0</v>
      </c>
      <c r="D21" s="239">
        <f>IF(ISNUMBER(Datos!I21),Datos!I21," - ")</f>
        <v>0</v>
      </c>
      <c r="E21" s="240">
        <f>IF(ISNUMBER(Datos!J21),Datos!J21," - ")</f>
        <v>0</v>
      </c>
      <c r="F21" s="240">
        <f>IF(ISNUMBER(Datos!K21),Datos!K21," - ")</f>
        <v>0</v>
      </c>
      <c r="G21" s="1390" t="str">
        <f>IF(Datos!E21&lt;&gt;"",Datos!E21,Datos!D21)</f>
        <v>09</v>
      </c>
      <c r="H21" s="241">
        <f>IF(ISNUMBER(Datos!L21),Datos!L21," - ")</f>
        <v>0</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622</v>
      </c>
      <c r="D23" s="1407">
        <f>SUBTOTAL(9,D16:D22)</f>
        <v>614</v>
      </c>
      <c r="E23" s="1408">
        <f>SUBTOTAL(9,E16:E22)</f>
        <v>1764</v>
      </c>
      <c r="F23" s="1408">
        <f>SUBTOTAL(9,F16:F22)</f>
        <v>1645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649</v>
      </c>
      <c r="D31" s="1435">
        <f>SUBTOTAL(9,D9:D30)</f>
        <v>641</v>
      </c>
      <c r="E31" s="1436">
        <f>SUBTOTAL(9,E9:E30)</f>
        <v>1772</v>
      </c>
      <c r="F31" s="1436">
        <f>SUBTOTAL(9,F9:F30)</f>
        <v>1651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833</v>
      </c>
      <c r="O37" s="1744"/>
      <c r="P37" s="1744"/>
      <c r="Q37" s="1744"/>
      <c r="R37" s="1744"/>
      <c r="S37" s="1744"/>
      <c r="T37" s="1744"/>
      <c r="U37" s="1744"/>
      <c r="V37" s="1744"/>
      <c r="W37" s="1744"/>
      <c r="Y37" s="1744" t="s">
        <v>834</v>
      </c>
      <c r="Z37" s="1744"/>
      <c r="AA37" s="1744"/>
      <c r="AB37" s="1744"/>
      <c r="AC37" s="1744"/>
    </row>
    <row r="39" spans="2:29">
      <c r="N39" s="1386" t="s">
        <v>835</v>
      </c>
      <c r="O39" s="1745" t="s">
        <v>836</v>
      </c>
      <c r="P39" s="1745"/>
      <c r="Q39" s="1745"/>
      <c r="R39" s="1745"/>
      <c r="S39" s="1745"/>
      <c r="T39" s="1745"/>
      <c r="U39" s="1745"/>
      <c r="V39" s="1745"/>
      <c r="W39" s="1745"/>
      <c r="Y39" s="1386" t="s">
        <v>835</v>
      </c>
      <c r="Z39" s="1746" t="s">
        <v>837</v>
      </c>
      <c r="AA39" s="1746"/>
      <c r="AB39" s="1746"/>
      <c r="AC39" s="1746"/>
    </row>
    <row r="40" spans="2:29">
      <c r="N40" s="1386" t="s">
        <v>838</v>
      </c>
      <c r="O40" s="1745" t="s">
        <v>839</v>
      </c>
      <c r="P40" s="1745"/>
      <c r="Q40" s="1745"/>
      <c r="R40" s="1745"/>
      <c r="S40" s="1745"/>
      <c r="T40" s="1745"/>
      <c r="U40" s="1745"/>
      <c r="V40" s="1745"/>
      <c r="W40" s="1745"/>
      <c r="Y40" s="1386" t="s">
        <v>838</v>
      </c>
      <c r="Z40" s="1746" t="s">
        <v>840</v>
      </c>
      <c r="AA40" s="1746"/>
      <c r="AB40" s="1746"/>
      <c r="AC40" s="1746"/>
    </row>
    <row r="41" spans="2:29">
      <c r="N41" s="1386" t="s">
        <v>841</v>
      </c>
      <c r="O41" s="1745" t="s">
        <v>842</v>
      </c>
      <c r="P41" s="1745"/>
      <c r="Q41" s="1745"/>
      <c r="R41" s="1745"/>
      <c r="S41" s="1745"/>
      <c r="T41" s="1745"/>
      <c r="U41" s="1745"/>
      <c r="V41" s="1745"/>
      <c r="W41" s="1745"/>
      <c r="Y41" s="1386" t="s">
        <v>843</v>
      </c>
      <c r="Z41" s="1746" t="s">
        <v>844</v>
      </c>
      <c r="AA41" s="1746"/>
      <c r="AB41" s="1746"/>
      <c r="AC41" s="1746"/>
    </row>
    <row r="42" spans="2:29">
      <c r="N42" s="1386" t="s">
        <v>845</v>
      </c>
      <c r="O42" s="1745" t="s">
        <v>846</v>
      </c>
      <c r="P42" s="1745"/>
      <c r="Q42" s="1745"/>
      <c r="R42" s="1745"/>
      <c r="S42" s="1745"/>
      <c r="T42" s="1745"/>
      <c r="U42" s="1745"/>
      <c r="V42" s="1745"/>
      <c r="W42" s="1745"/>
      <c r="Y42" s="1386" t="s">
        <v>847</v>
      </c>
      <c r="Z42" s="1746" t="s">
        <v>848</v>
      </c>
      <c r="AA42" s="1746"/>
      <c r="AB42" s="1746"/>
      <c r="AC42" s="1746"/>
    </row>
    <row r="43" spans="2:29">
      <c r="N43" s="1386" t="s">
        <v>935</v>
      </c>
      <c r="O43" s="1745" t="s">
        <v>936</v>
      </c>
      <c r="P43" s="1745"/>
      <c r="Q43" s="1745"/>
      <c r="R43" s="1745"/>
      <c r="S43" s="1745"/>
      <c r="T43" s="1745"/>
      <c r="U43" s="1745"/>
      <c r="V43" s="1745"/>
      <c r="W43" s="1745"/>
      <c r="Y43" s="1386" t="s">
        <v>841</v>
      </c>
      <c r="Z43" s="1746" t="s">
        <v>842</v>
      </c>
      <c r="AA43" s="1746"/>
      <c r="AB43" s="1746"/>
      <c r="AC43" s="1746"/>
    </row>
    <row r="44" spans="2:29">
      <c r="N44" s="1386" t="s">
        <v>849</v>
      </c>
      <c r="O44" s="1745" t="s">
        <v>850</v>
      </c>
      <c r="P44" s="1745"/>
      <c r="Q44" s="1745"/>
      <c r="R44" s="1745"/>
      <c r="S44" s="1745"/>
      <c r="T44" s="1745"/>
      <c r="U44" s="1745"/>
      <c r="V44" s="1745"/>
      <c r="W44" s="1745"/>
      <c r="Y44" s="1386" t="s">
        <v>845</v>
      </c>
      <c r="Z44" s="1746" t="s">
        <v>846</v>
      </c>
      <c r="AA44" s="1746"/>
      <c r="AB44" s="1746"/>
      <c r="AC44" s="1746"/>
    </row>
    <row r="45" spans="2:29">
      <c r="N45" s="1386" t="s">
        <v>851</v>
      </c>
      <c r="O45" s="1745" t="s">
        <v>852</v>
      </c>
      <c r="P45" s="1745"/>
      <c r="Q45" s="1745"/>
      <c r="R45" s="1745"/>
      <c r="S45" s="1745"/>
      <c r="T45" s="1745"/>
      <c r="U45" s="1745"/>
      <c r="V45" s="1745"/>
      <c r="W45" s="1745"/>
      <c r="Y45" s="1386" t="s">
        <v>854</v>
      </c>
      <c r="Z45" s="1746" t="s">
        <v>855</v>
      </c>
      <c r="AA45" s="1746"/>
      <c r="AB45" s="1746"/>
      <c r="AC45" s="1746"/>
    </row>
    <row r="46" spans="2:29">
      <c r="N46" s="1386" t="s">
        <v>843</v>
      </c>
      <c r="O46" s="1745" t="s">
        <v>853</v>
      </c>
      <c r="P46" s="1745"/>
      <c r="Q46" s="1745"/>
      <c r="R46" s="1745"/>
      <c r="S46" s="1745"/>
      <c r="T46" s="1745"/>
      <c r="U46" s="1745"/>
      <c r="V46" s="1745"/>
      <c r="W46" s="1745"/>
      <c r="Y46" s="1386" t="s">
        <v>857</v>
      </c>
      <c r="Z46" s="1746" t="s">
        <v>858</v>
      </c>
      <c r="AA46" s="1746"/>
      <c r="AB46" s="1746"/>
      <c r="AC46" s="1746"/>
    </row>
    <row r="47" spans="2:29">
      <c r="N47" s="1386" t="s">
        <v>847</v>
      </c>
      <c r="O47" s="1745" t="s">
        <v>856</v>
      </c>
      <c r="P47" s="1745"/>
      <c r="Q47" s="1745"/>
      <c r="R47" s="1745"/>
      <c r="S47" s="1745"/>
      <c r="T47" s="1745"/>
      <c r="U47" s="1745"/>
      <c r="V47" s="1745"/>
      <c r="W47" s="1745"/>
      <c r="Y47" s="1387" t="s">
        <v>860</v>
      </c>
      <c r="Z47" s="1747" t="s">
        <v>861</v>
      </c>
      <c r="AA47" s="1747"/>
      <c r="AB47" s="1747"/>
      <c r="AC47" s="1747"/>
    </row>
    <row r="48" spans="2:29">
      <c r="N48" s="1386" t="s">
        <v>854</v>
      </c>
      <c r="O48" s="1745" t="s">
        <v>859</v>
      </c>
      <c r="P48" s="1745"/>
      <c r="Q48" s="1745"/>
      <c r="R48" s="1745"/>
      <c r="S48" s="1745"/>
      <c r="T48" s="1745"/>
      <c r="U48" s="1745"/>
      <c r="V48" s="1745"/>
      <c r="W48" s="1745"/>
      <c r="Y48" s="1386" t="s">
        <v>849</v>
      </c>
      <c r="Z48" s="1746" t="s">
        <v>850</v>
      </c>
      <c r="AA48" s="1746"/>
      <c r="AB48" s="1746"/>
      <c r="AC48" s="1746"/>
    </row>
    <row r="49" spans="14:29">
      <c r="N49" s="1386" t="s">
        <v>862</v>
      </c>
      <c r="O49" s="1745" t="s">
        <v>863</v>
      </c>
      <c r="P49" s="1745"/>
      <c r="Q49" s="1745"/>
      <c r="R49" s="1745"/>
      <c r="S49" s="1745"/>
      <c r="T49" s="1745"/>
      <c r="U49" s="1745"/>
      <c r="V49" s="1745"/>
      <c r="W49" s="1745"/>
      <c r="Y49" s="1388" t="s">
        <v>851</v>
      </c>
      <c r="Z49" s="1749" t="s">
        <v>852</v>
      </c>
      <c r="AA49" s="1749"/>
      <c r="AB49" s="1749"/>
      <c r="AC49" s="1749"/>
    </row>
    <row r="50" spans="14:29">
      <c r="N50" s="1386" t="s">
        <v>857</v>
      </c>
      <c r="O50" s="1745" t="s">
        <v>864</v>
      </c>
      <c r="P50" s="1745"/>
      <c r="Q50" s="1745"/>
      <c r="R50" s="1745"/>
      <c r="S50" s="1745"/>
      <c r="T50" s="1745"/>
      <c r="U50" s="1745"/>
      <c r="V50" s="1745"/>
      <c r="W50" s="1745"/>
    </row>
    <row r="51" spans="14:29">
      <c r="N51" s="1388" t="s">
        <v>860</v>
      </c>
      <c r="O51" s="1748" t="s">
        <v>865</v>
      </c>
      <c r="P51" s="1748"/>
      <c r="Q51" s="1748"/>
      <c r="R51" s="1748"/>
      <c r="S51" s="1748"/>
      <c r="T51" s="1748"/>
      <c r="U51" s="1748"/>
      <c r="V51" s="1748"/>
      <c r="W51" s="1748"/>
    </row>
  </sheetData>
  <sheetProtection algorithmName="SHA-512" hashValue="PGM53ZGi9UyIZkV0OJKvoshuIxoS6WLXVpNSoZKvEUNYKGZzx0hl9VCXxU3eNdzPOMvn2ta11n+kNXMyTYXznQ==" saltValue="g/kooMaw1dSMr/+2ayBzX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539</v>
      </c>
    </row>
    <row r="9" spans="2:2">
      <c r="B9" s="527"/>
    </row>
    <row r="10" spans="2:2">
      <c r="B10" s="524"/>
    </row>
    <row r="11" spans="2:2" ht="25.5">
      <c r="B11" s="1544" t="s">
        <v>540</v>
      </c>
    </row>
    <row r="12" spans="2:2">
      <c r="B12" s="1545"/>
    </row>
    <row r="13" spans="2:2" ht="76.5">
      <c r="B13" s="1545" t="s">
        <v>541</v>
      </c>
    </row>
    <row r="14" spans="2:2">
      <c r="B14" s="1545"/>
    </row>
    <row r="15" spans="2:2" ht="51">
      <c r="B15" s="1545" t="s">
        <v>542</v>
      </c>
    </row>
    <row r="16" spans="2:2">
      <c r="B16" s="1545"/>
    </row>
    <row r="17" spans="2:2" ht="51">
      <c r="B17" s="1546" t="s">
        <v>543</v>
      </c>
    </row>
  </sheetData>
  <sheetProtection algorithmName="SHA-512" hashValue="cgvtkdAxkNPsDggkU0uAlGHgevCyhyuvTQQ6XLmhpSzzgoC7/AEU/PIB0VMnrzr1CfFU1XsP3rYG+Rid3idz5A==" saltValue="InWwdtVFRABbrXlTnecW6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c r="BO1" s="32"/>
      <c r="BP1" s="31"/>
      <c r="BQ1" s="53"/>
      <c r="BR1" s="32"/>
      <c r="BS1" s="31"/>
      <c r="BT1" s="53"/>
      <c r="BU1" s="32"/>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349</v>
      </c>
      <c r="CF4" s="1829"/>
      <c r="CG4" s="1829"/>
      <c r="CH4" s="1830"/>
    </row>
    <row r="5" spans="1:155" ht="12.75" customHeight="1" thickBot="1">
      <c r="A5" s="1798" t="str">
        <f>"Año:  " &amp;Criterios!B5 &amp; "                  Trimestre   " &amp;Criterios!D5 &amp; " al " &amp;Criterios!D6</f>
        <v>Año:  2022                  Trimestre   3 al 3</v>
      </c>
      <c r="B5" s="1800" t="s">
        <v>515</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306</v>
      </c>
      <c r="AV5" s="1784" t="s">
        <v>304</v>
      </c>
      <c r="AW5" s="1784" t="s">
        <v>307</v>
      </c>
      <c r="AX5" s="1784" t="s">
        <v>305</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412</v>
      </c>
      <c r="BN5" s="1686"/>
      <c r="BO5" s="1687"/>
      <c r="BP5" s="1686"/>
      <c r="BQ5" s="1687"/>
      <c r="BR5" s="1686"/>
      <c r="BS5" s="1687"/>
      <c r="BT5" s="1686"/>
      <c r="BU5" s="1687"/>
      <c r="BV5" s="1839" t="s">
        <v>348</v>
      </c>
      <c r="BW5" s="1845" t="s">
        <v>326</v>
      </c>
      <c r="BX5" s="1845" t="s">
        <v>327</v>
      </c>
      <c r="BY5" s="1831" t="s">
        <v>335</v>
      </c>
      <c r="BZ5" s="1831" t="s">
        <v>461</v>
      </c>
      <c r="CA5" s="1759" t="s">
        <v>364</v>
      </c>
      <c r="CB5" s="1759" t="s">
        <v>355</v>
      </c>
      <c r="CC5" s="1759" t="s">
        <v>356</v>
      </c>
      <c r="CD5" s="1759" t="s">
        <v>357</v>
      </c>
      <c r="CE5" s="1771" t="s">
        <v>368</v>
      </c>
      <c r="CF5" s="1771" t="s">
        <v>347</v>
      </c>
      <c r="CG5" s="1771" t="s">
        <v>345</v>
      </c>
      <c r="CH5" s="1771" t="s">
        <v>346</v>
      </c>
      <c r="CI5" s="1753" t="s">
        <v>375</v>
      </c>
      <c r="CJ5" s="1753" t="s">
        <v>376</v>
      </c>
      <c r="CK5" s="1756" t="s">
        <v>546</v>
      </c>
      <c r="CL5" s="1756" t="s">
        <v>547</v>
      </c>
      <c r="CM5" s="1756" t="s">
        <v>585</v>
      </c>
      <c r="CN5" s="1772" t="s">
        <v>483</v>
      </c>
      <c r="CO5" s="1772" t="s">
        <v>476</v>
      </c>
      <c r="CP5" s="1772" t="s">
        <v>482</v>
      </c>
      <c r="CQ5" s="1775" t="s">
        <v>481</v>
      </c>
      <c r="CR5" s="1775" t="s">
        <v>481</v>
      </c>
      <c r="CS5" s="1771" t="s">
        <v>502</v>
      </c>
      <c r="CT5" s="1771" t="s">
        <v>505</v>
      </c>
      <c r="CU5" s="1771" t="s">
        <v>291</v>
      </c>
      <c r="CV5" s="1771" t="s">
        <v>404</v>
      </c>
      <c r="CW5" s="1771" t="s">
        <v>435</v>
      </c>
      <c r="CX5" s="1771" t="s">
        <v>446</v>
      </c>
      <c r="CY5" s="1771" t="s">
        <v>572</v>
      </c>
      <c r="CZ5" s="1771" t="s">
        <v>573</v>
      </c>
      <c r="DA5" s="1771" t="s">
        <v>574</v>
      </c>
      <c r="DB5" s="1768" t="s">
        <v>256</v>
      </c>
      <c r="DC5" s="1768" t="s">
        <v>257</v>
      </c>
      <c r="DD5" s="1768" t="s">
        <v>258</v>
      </c>
      <c r="DE5" s="1778" t="s">
        <v>229</v>
      </c>
      <c r="DF5" s="1778" t="s">
        <v>527</v>
      </c>
      <c r="DG5" s="1771" t="s">
        <v>587</v>
      </c>
      <c r="DH5" s="1756" t="s">
        <v>546</v>
      </c>
      <c r="DI5" s="1756" t="s">
        <v>547</v>
      </c>
      <c r="DJ5" s="1756" t="s">
        <v>584</v>
      </c>
      <c r="DK5" s="1756" t="s">
        <v>638</v>
      </c>
      <c r="DL5" s="1756" t="s">
        <v>642</v>
      </c>
      <c r="DM5" s="1848" t="s">
        <v>705</v>
      </c>
      <c r="DN5" s="1848" t="s">
        <v>706</v>
      </c>
      <c r="DO5" s="1848" t="s">
        <v>707</v>
      </c>
      <c r="DP5" s="1848" t="s">
        <v>708</v>
      </c>
      <c r="DQ5" s="1848" t="s">
        <v>709</v>
      </c>
      <c r="DR5" s="1848" t="s">
        <v>710</v>
      </c>
      <c r="DS5" s="1848" t="s">
        <v>711</v>
      </c>
      <c r="DT5" s="1848" t="s">
        <v>712</v>
      </c>
      <c r="DU5" s="1849" t="s">
        <v>713</v>
      </c>
      <c r="DV5" s="1861" t="s">
        <v>714</v>
      </c>
      <c r="DW5" s="1858" t="s">
        <v>715</v>
      </c>
      <c r="DX5" s="1848" t="s">
        <v>716</v>
      </c>
      <c r="DY5" s="1855" t="s">
        <v>717</v>
      </c>
      <c r="DZ5" s="1858" t="s">
        <v>718</v>
      </c>
      <c r="EA5" s="1855" t="s">
        <v>719</v>
      </c>
      <c r="EB5" s="1852" t="s">
        <v>779</v>
      </c>
      <c r="EC5" s="1852" t="s">
        <v>780</v>
      </c>
      <c r="ED5" s="1852" t="s">
        <v>781</v>
      </c>
      <c r="EE5" s="1852" t="s">
        <v>821</v>
      </c>
      <c r="EF5" s="1852" t="s">
        <v>825</v>
      </c>
      <c r="EG5" s="1855" t="s">
        <v>823</v>
      </c>
      <c r="EH5" s="1855" t="s">
        <v>824</v>
      </c>
      <c r="EI5" s="1855" t="s">
        <v>783</v>
      </c>
      <c r="EJ5" s="1855" t="s">
        <v>784</v>
      </c>
      <c r="EK5" s="1867" t="s">
        <v>872</v>
      </c>
      <c r="EL5" s="1870" t="s">
        <v>890</v>
      </c>
      <c r="EM5" s="1871"/>
      <c r="EN5" s="1872"/>
      <c r="EO5" s="1768" t="s">
        <v>990</v>
      </c>
      <c r="EP5" s="1768" t="s">
        <v>992</v>
      </c>
      <c r="EQ5" s="1768" t="s">
        <v>993</v>
      </c>
      <c r="ER5" s="1768" t="s">
        <v>998</v>
      </c>
      <c r="ES5" s="1768" t="s">
        <v>1008</v>
      </c>
      <c r="ET5" s="1864" t="s">
        <v>1088</v>
      </c>
      <c r="EU5" s="1864" t="s">
        <v>1089</v>
      </c>
      <c r="EV5" s="1765" t="s">
        <v>1110</v>
      </c>
      <c r="EW5" s="1765" t="s">
        <v>1116</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989</v>
      </c>
      <c r="B7" s="1802"/>
      <c r="C7" s="1805"/>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891</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2" t="s">
        <v>997</v>
      </c>
      <c r="ER8" s="532">
        <v>148</v>
      </c>
      <c r="ES8" s="532" t="s">
        <v>1009</v>
      </c>
      <c r="ET8" s="1519" t="s">
        <v>1090</v>
      </c>
      <c r="EU8" s="1519" t="s">
        <v>1091</v>
      </c>
      <c r="EV8" s="165" t="s">
        <v>1099</v>
      </c>
      <c r="EW8" s="165">
        <v>153</v>
      </c>
      <c r="EX8" s="532" t="s">
        <v>1145</v>
      </c>
      <c r="EY8" s="532" t="s">
        <v>1158</v>
      </c>
    </row>
    <row r="9" spans="1:155" ht="14.25" customHeight="1">
      <c r="A9" s="20" t="s">
        <v>72</v>
      </c>
      <c r="B9" s="21" t="s">
        <v>518</v>
      </c>
      <c r="C9" s="22" t="s">
        <v>8</v>
      </c>
      <c r="D9" s="23" t="s">
        <v>25</v>
      </c>
      <c r="E9" s="21" t="s">
        <v>26</v>
      </c>
      <c r="F9" s="21">
        <v>32</v>
      </c>
      <c r="G9" s="6"/>
      <c r="H9" s="146" t="s">
        <v>319</v>
      </c>
      <c r="I9" s="193" t="s">
        <v>1072</v>
      </c>
      <c r="J9" s="194" t="s">
        <v>1064</v>
      </c>
      <c r="K9" s="194" t="s">
        <v>1126</v>
      </c>
      <c r="L9" s="194" t="s">
        <v>1077</v>
      </c>
      <c r="M9" s="194" t="s">
        <v>652</v>
      </c>
      <c r="N9" s="194" t="s">
        <v>667</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1063</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v>27</v>
      </c>
      <c r="J10" s="194">
        <v>8</v>
      </c>
      <c r="K10" s="194">
        <v>6</v>
      </c>
      <c r="L10" s="194">
        <v>29</v>
      </c>
      <c r="M10" s="194">
        <v>5</v>
      </c>
      <c r="N10" s="194">
        <v>0</v>
      </c>
      <c r="O10" s="194">
        <v>0</v>
      </c>
      <c r="P10" s="194">
        <v>3</v>
      </c>
      <c r="Q10" s="194">
        <v>1</v>
      </c>
      <c r="R10" s="194">
        <v>15</v>
      </c>
      <c r="S10" s="194">
        <v>27</v>
      </c>
      <c r="T10" s="194">
        <v>2</v>
      </c>
      <c r="U10" s="194">
        <v>1</v>
      </c>
      <c r="V10" s="194">
        <v>28</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1057</v>
      </c>
      <c r="AT10" s="205"/>
      <c r="AU10" s="213"/>
      <c r="AV10" s="205"/>
      <c r="AW10" s="213"/>
      <c r="AX10" s="205"/>
      <c r="AY10" s="138">
        <f t="shared" ref="AY10:BC10" si="0">IF(ISNUMBER(S10),S10," - ")</f>
        <v>27</v>
      </c>
      <c r="AZ10" s="139">
        <f t="shared" si="0"/>
        <v>2</v>
      </c>
      <c r="BA10" s="139">
        <f t="shared" si="0"/>
        <v>1</v>
      </c>
      <c r="BB10" s="139">
        <f t="shared" si="0"/>
        <v>28</v>
      </c>
      <c r="BC10" s="135">
        <f t="shared" si="0"/>
        <v>1</v>
      </c>
      <c r="BD10" s="136">
        <f>IF(ISNUMBER(BA10/AZ10),BA10/AZ10," - ")</f>
        <v>0.5</v>
      </c>
      <c r="BE10" s="137">
        <f>IF(ISNUMBER(BB10/BA10),BB10/BA10, " - ")</f>
        <v>28</v>
      </c>
      <c r="BF10" s="137">
        <f>IF(ISNUMBER(BC10/BA10),BC10/BA10, " - ")</f>
        <v>1</v>
      </c>
      <c r="BG10" s="209">
        <f>IF(ISNUMBER((AY10+AZ10)/BA10),(AY10+AZ10)/BA10," - ")</f>
        <v>29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1031</v>
      </c>
      <c r="EP10" s="380"/>
      <c r="EQ10" s="380"/>
      <c r="ER10" s="1338">
        <v>1600</v>
      </c>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t="s">
        <v>1072</v>
      </c>
      <c r="J11" s="196" t="s">
        <v>1064</v>
      </c>
      <c r="K11" s="196" t="s">
        <v>1126</v>
      </c>
      <c r="L11" s="196" t="s">
        <v>1077</v>
      </c>
      <c r="M11" s="196" t="s">
        <v>652</v>
      </c>
      <c r="N11" s="196" t="s">
        <v>667</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1065</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v>1725</v>
      </c>
      <c r="J12" s="196">
        <v>731</v>
      </c>
      <c r="K12" s="196">
        <v>693</v>
      </c>
      <c r="L12" s="196">
        <v>1649</v>
      </c>
      <c r="M12" s="196">
        <v>234</v>
      </c>
      <c r="N12" s="196">
        <v>295</v>
      </c>
      <c r="O12" s="194">
        <v>193</v>
      </c>
      <c r="P12" s="196">
        <v>204</v>
      </c>
      <c r="Q12" s="196">
        <v>110</v>
      </c>
      <c r="R12" s="196">
        <v>4045</v>
      </c>
      <c r="S12" s="196">
        <v>1771</v>
      </c>
      <c r="T12" s="196">
        <v>615</v>
      </c>
      <c r="U12" s="196">
        <v>637</v>
      </c>
      <c r="V12" s="196">
        <v>1688</v>
      </c>
      <c r="W12" s="196">
        <v>224</v>
      </c>
      <c r="X12" s="202">
        <v>145</v>
      </c>
      <c r="Y12" s="204">
        <v>35</v>
      </c>
      <c r="Z12" s="194">
        <v>127</v>
      </c>
      <c r="AA12" s="194">
        <v>104</v>
      </c>
      <c r="AB12" s="194">
        <v>58</v>
      </c>
      <c r="AC12" s="196">
        <v>0</v>
      </c>
      <c r="AD12" s="196">
        <v>0</v>
      </c>
      <c r="AE12" s="196">
        <v>0</v>
      </c>
      <c r="AF12" s="202">
        <v>0</v>
      </c>
      <c r="AG12" s="215">
        <v>40</v>
      </c>
      <c r="AH12" s="196">
        <v>54</v>
      </c>
      <c r="AI12" s="196">
        <v>48</v>
      </c>
      <c r="AJ12" s="216">
        <v>48</v>
      </c>
      <c r="AK12" s="195">
        <v>0</v>
      </c>
      <c r="AL12" s="196">
        <v>0</v>
      </c>
      <c r="AM12" s="196">
        <v>0</v>
      </c>
      <c r="AN12" s="202">
        <v>0</v>
      </c>
      <c r="AO12" s="283">
        <v>6</v>
      </c>
      <c r="AP12" s="168">
        <v>6</v>
      </c>
      <c r="AQ12" s="168">
        <v>6</v>
      </c>
      <c r="AR12" s="167">
        <v>6</v>
      </c>
      <c r="AS12" s="381" t="s">
        <v>1066</v>
      </c>
      <c r="AT12" s="216"/>
      <c r="AU12" s="215"/>
      <c r="AV12" s="216"/>
      <c r="AW12" s="215"/>
      <c r="AX12" s="216"/>
      <c r="AY12" s="136">
        <f t="shared" si="1"/>
        <v>1811</v>
      </c>
      <c r="AZ12" s="137">
        <f t="shared" si="1"/>
        <v>669</v>
      </c>
      <c r="BA12" s="137">
        <f t="shared" si="1"/>
        <v>685</v>
      </c>
      <c r="BB12" s="137">
        <f t="shared" si="1"/>
        <v>1736</v>
      </c>
      <c r="BC12" s="135">
        <f>IF(ISNUMBER(X12),X12," - ")</f>
        <v>145</v>
      </c>
      <c r="BD12" s="136">
        <f t="shared" si="2"/>
        <v>1.0239162929745889</v>
      </c>
      <c r="BE12" s="137">
        <f t="shared" si="3"/>
        <v>2.5343065693430655</v>
      </c>
      <c r="BF12" s="137">
        <f t="shared" si="4"/>
        <v>0.21167883211678831</v>
      </c>
      <c r="BG12" s="209">
        <f t="shared" si="5"/>
        <v>3.6204379562043796</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t="s">
        <v>138</v>
      </c>
      <c r="J13" s="196" t="s">
        <v>139</v>
      </c>
      <c r="K13" s="196" t="s">
        <v>140</v>
      </c>
      <c r="L13" s="196" t="s">
        <v>141</v>
      </c>
      <c r="M13" s="196" t="s">
        <v>137</v>
      </c>
      <c r="N13" s="196" t="s">
        <v>669</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7">SUBTOTAL(9,I8:I13)</f>
        <v>1752</v>
      </c>
      <c r="J14" s="197">
        <f t="shared" si="7"/>
        <v>739</v>
      </c>
      <c r="K14" s="197">
        <f t="shared" si="7"/>
        <v>699</v>
      </c>
      <c r="L14" s="197">
        <f t="shared" si="7"/>
        <v>1678</v>
      </c>
      <c r="M14" s="197">
        <f t="shared" si="7"/>
        <v>239</v>
      </c>
      <c r="N14" s="197">
        <f t="shared" si="7"/>
        <v>295</v>
      </c>
      <c r="O14" s="197">
        <f t="shared" si="7"/>
        <v>193</v>
      </c>
      <c r="P14" s="197">
        <f t="shared" si="7"/>
        <v>207</v>
      </c>
      <c r="Q14" s="197">
        <f t="shared" si="7"/>
        <v>111</v>
      </c>
      <c r="R14" s="197">
        <f t="shared" si="7"/>
        <v>4060</v>
      </c>
      <c r="S14" s="197">
        <f t="shared" si="7"/>
        <v>1798</v>
      </c>
      <c r="T14" s="197">
        <f t="shared" si="7"/>
        <v>617</v>
      </c>
      <c r="U14" s="197">
        <f t="shared" si="7"/>
        <v>638</v>
      </c>
      <c r="V14" s="197">
        <f t="shared" si="7"/>
        <v>1716</v>
      </c>
      <c r="W14" s="197">
        <f t="shared" si="7"/>
        <v>225</v>
      </c>
      <c r="X14" s="197">
        <f t="shared" si="7"/>
        <v>145</v>
      </c>
      <c r="Y14" s="197">
        <f t="shared" si="7"/>
        <v>35</v>
      </c>
      <c r="Z14" s="197">
        <f t="shared" si="7"/>
        <v>127</v>
      </c>
      <c r="AA14" s="197">
        <f t="shared" si="7"/>
        <v>104</v>
      </c>
      <c r="AB14" s="197">
        <f t="shared" si="7"/>
        <v>58</v>
      </c>
      <c r="AC14" s="197">
        <f t="shared" si="7"/>
        <v>0</v>
      </c>
      <c r="AD14" s="197">
        <f t="shared" si="7"/>
        <v>0</v>
      </c>
      <c r="AE14" s="197">
        <f t="shared" si="7"/>
        <v>0</v>
      </c>
      <c r="AF14" s="197">
        <f>SUBTOTAL(9,AF9:AF13)</f>
        <v>0</v>
      </c>
      <c r="AG14" s="197">
        <f t="shared" ref="AG14:AT14" si="8">SUBTOTAL(9,AG8:AG13)</f>
        <v>40</v>
      </c>
      <c r="AH14" s="197">
        <f t="shared" si="8"/>
        <v>54</v>
      </c>
      <c r="AI14" s="197">
        <f t="shared" si="8"/>
        <v>48</v>
      </c>
      <c r="AJ14" s="197">
        <f t="shared" si="8"/>
        <v>48</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1838</v>
      </c>
      <c r="AZ14" s="197">
        <f>SUBTOTAL(9,AZ8:AZ13)</f>
        <v>671</v>
      </c>
      <c r="BA14" s="197">
        <f>SUBTOTAL(9,BA8:BA13)</f>
        <v>686</v>
      </c>
      <c r="BB14" s="197">
        <f>SUBTOTAL(9,BB8:BB13)</f>
        <v>1764</v>
      </c>
      <c r="BC14" s="197">
        <f>SUBTOTAL(9,BC8:BC13)</f>
        <v>146</v>
      </c>
      <c r="BD14" s="219">
        <f>IF(ISNUMBER(BA14/AZ14),BA14/AZ14," - ")</f>
        <v>1.0223546944858419</v>
      </c>
      <c r="BE14" s="220">
        <f>IF(ISNUMBER(BB14/BA14),BB14/BA14, " - ")</f>
        <v>2.5714285714285716</v>
      </c>
      <c r="BF14" s="220">
        <f>IF(ISNUMBER(BC14/BA14),BC14/BA14, " - ")</f>
        <v>0.21282798833819241</v>
      </c>
      <c r="BG14" s="221">
        <f>IF(ISNUMBER((AY14+AZ14)/BA14),(AY14+AZ14)/BA14," - ")</f>
        <v>3.6574344023323615</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t="s">
        <v>650</v>
      </c>
      <c r="J16" s="196" t="s">
        <v>646</v>
      </c>
      <c r="K16" s="196" t="s">
        <v>647</v>
      </c>
      <c r="L16" s="196" t="s">
        <v>648</v>
      </c>
      <c r="M16" s="196" t="s">
        <v>653</v>
      </c>
      <c r="N16" s="196" t="s">
        <v>200</v>
      </c>
      <c r="O16" s="194" t="s">
        <v>287</v>
      </c>
      <c r="P16" s="196" t="s">
        <v>632</v>
      </c>
      <c r="Q16" s="196" t="s">
        <v>633</v>
      </c>
      <c r="R16" s="196" t="s">
        <v>634</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694</v>
      </c>
      <c r="AT16" s="216" t="s">
        <v>423</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1067</v>
      </c>
      <c r="EP16" s="1332"/>
      <c r="EQ16" s="1332"/>
      <c r="ER16" s="1339">
        <v>3300</v>
      </c>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v>550</v>
      </c>
      <c r="J17" s="196">
        <v>1637</v>
      </c>
      <c r="K17" s="196">
        <v>1536</v>
      </c>
      <c r="L17" s="196">
        <v>659</v>
      </c>
      <c r="M17" s="196">
        <v>143</v>
      </c>
      <c r="N17" s="196">
        <v>1083</v>
      </c>
      <c r="O17" s="194">
        <v>5</v>
      </c>
      <c r="P17" s="196">
        <v>52</v>
      </c>
      <c r="Q17" s="196">
        <v>34</v>
      </c>
      <c r="R17" s="196">
        <v>160</v>
      </c>
      <c r="S17" s="196">
        <v>685</v>
      </c>
      <c r="T17" s="196">
        <v>2012</v>
      </c>
      <c r="U17" s="196">
        <v>1944</v>
      </c>
      <c r="V17" s="196">
        <v>756</v>
      </c>
      <c r="W17" s="196">
        <v>198</v>
      </c>
      <c r="X17" s="202">
        <v>1381</v>
      </c>
      <c r="Y17" s="215">
        <v>0</v>
      </c>
      <c r="Z17" s="196">
        <v>0</v>
      </c>
      <c r="AA17" s="196">
        <v>0</v>
      </c>
      <c r="AB17" s="196">
        <v>0</v>
      </c>
      <c r="AC17" s="196">
        <v>0</v>
      </c>
      <c r="AD17" s="196">
        <v>1</v>
      </c>
      <c r="AE17" s="196">
        <v>1</v>
      </c>
      <c r="AF17" s="202">
        <v>0</v>
      </c>
      <c r="AG17" s="215">
        <v>0</v>
      </c>
      <c r="AH17" s="196">
        <v>0</v>
      </c>
      <c r="AI17" s="196">
        <v>0</v>
      </c>
      <c r="AJ17" s="216">
        <v>0</v>
      </c>
      <c r="AK17" s="195">
        <v>0</v>
      </c>
      <c r="AL17" s="196">
        <v>13</v>
      </c>
      <c r="AM17" s="196">
        <v>13</v>
      </c>
      <c r="AN17" s="202">
        <v>0</v>
      </c>
      <c r="AO17" s="283">
        <v>6</v>
      </c>
      <c r="AP17" s="168">
        <v>6</v>
      </c>
      <c r="AQ17" s="168">
        <v>6</v>
      </c>
      <c r="AR17" s="168">
        <v>6</v>
      </c>
      <c r="AS17" s="381" t="s">
        <v>649</v>
      </c>
      <c r="AT17" s="216"/>
      <c r="AU17" s="215"/>
      <c r="AV17" s="216"/>
      <c r="AW17" s="215"/>
      <c r="AX17" s="216"/>
      <c r="AY17" s="136">
        <f t="shared" si="10"/>
        <v>685</v>
      </c>
      <c r="AZ17" s="137">
        <f t="shared" si="10"/>
        <v>2012</v>
      </c>
      <c r="BA17" s="137">
        <f t="shared" si="10"/>
        <v>1944</v>
      </c>
      <c r="BB17" s="137">
        <f t="shared" si="10"/>
        <v>756</v>
      </c>
      <c r="BC17" s="135">
        <f>IF(ISNUMBER(W17),W17," - ")</f>
        <v>198</v>
      </c>
      <c r="BD17" s="136">
        <f t="shared" ref="BD17:BD22" si="12">IF(ISNUMBER(BA17/AZ17),BA17/AZ17," - ")</f>
        <v>0.96620278330019882</v>
      </c>
      <c r="BE17" s="137">
        <f t="shared" ref="BE17:BE22" si="13">IF(ISNUMBER(BB17/BA17),BB17/BA17, " - ")</f>
        <v>0.3888888888888889</v>
      </c>
      <c r="BF17" s="137">
        <f t="shared" ref="BF17:BF22" si="14">IF(ISNUMBER(BC17/BA17),BC17/BA17, " - ")</f>
        <v>0.10185185185185185</v>
      </c>
      <c r="BG17" s="209">
        <f t="shared" si="11"/>
        <v>1.3873456790123457</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1037</v>
      </c>
      <c r="EP17" s="1332"/>
      <c r="EQ17" s="1332"/>
      <c r="ER17" s="1339">
        <v>1000</v>
      </c>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v>64</v>
      </c>
      <c r="J18" s="196">
        <v>127</v>
      </c>
      <c r="K18" s="196">
        <v>109</v>
      </c>
      <c r="L18" s="196">
        <v>82</v>
      </c>
      <c r="M18" s="196">
        <v>12</v>
      </c>
      <c r="N18" s="196">
        <v>40</v>
      </c>
      <c r="O18" s="196">
        <v>0</v>
      </c>
      <c r="P18" s="196">
        <v>2</v>
      </c>
      <c r="Q18" s="196">
        <v>0</v>
      </c>
      <c r="R18" s="196">
        <v>3</v>
      </c>
      <c r="S18" s="196">
        <v>52</v>
      </c>
      <c r="T18" s="196">
        <v>115</v>
      </c>
      <c r="U18" s="196">
        <v>106</v>
      </c>
      <c r="V18" s="196">
        <v>61</v>
      </c>
      <c r="W18" s="196">
        <v>14</v>
      </c>
      <c r="X18" s="202">
        <v>42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1056</v>
      </c>
      <c r="AT18" s="223"/>
      <c r="AU18" s="213"/>
      <c r="AV18" s="223"/>
      <c r="AW18" s="213"/>
      <c r="AX18" s="223"/>
      <c r="AY18" s="138">
        <f t="shared" ref="AY18:BB19" si="15">IF(ISNUMBER(S18),S18," - ")</f>
        <v>52</v>
      </c>
      <c r="AZ18" s="139">
        <f t="shared" si="15"/>
        <v>115</v>
      </c>
      <c r="BA18" s="139">
        <f t="shared" si="15"/>
        <v>106</v>
      </c>
      <c r="BB18" s="139">
        <f t="shared" si="15"/>
        <v>61</v>
      </c>
      <c r="BC18" s="135">
        <f>IF(ISNUMBER(W18),W18," - ")</f>
        <v>14</v>
      </c>
      <c r="BD18" s="136">
        <f>IF(ISNUMBER(BA18/AZ18),BA18/AZ18," - ")</f>
        <v>0.92173913043478262</v>
      </c>
      <c r="BE18" s="137">
        <f>IF(ISNUMBER(BB18/BA18),BB18/BA18, " - ")</f>
        <v>0.57547169811320753</v>
      </c>
      <c r="BF18" s="137">
        <f>IF(ISNUMBER(BC18/BA18),BC18/BA18, " - ")</f>
        <v>0.13207547169811321</v>
      </c>
      <c r="BG18" s="209">
        <f>IF(ISNUMBER((AY18+AZ18)/BA18),(AY18+AZ18)/BA18," - ")</f>
        <v>1.5754716981132075</v>
      </c>
      <c r="BH18" s="168">
        <v>1</v>
      </c>
      <c r="BI18" s="168"/>
      <c r="BJ18" s="213"/>
      <c r="BK18" s="167"/>
      <c r="BL18" s="167"/>
      <c r="BM18" s="167">
        <v>1800</v>
      </c>
      <c r="BN18" s="167"/>
      <c r="BO18" s="167"/>
      <c r="BP18" s="167"/>
      <c r="BQ18" s="167"/>
      <c r="BR18" s="167"/>
      <c r="BS18" s="167"/>
      <c r="BT18" s="167"/>
      <c r="BU18" s="167"/>
      <c r="BV18" s="167"/>
      <c r="BW18" s="167"/>
      <c r="BX18" s="167"/>
      <c r="BY18" s="187" t="s">
        <v>933</v>
      </c>
      <c r="BZ18" s="187" t="s">
        <v>934</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1038</v>
      </c>
      <c r="EP18" s="380"/>
      <c r="EQ18" s="380"/>
      <c r="ER18" s="1338">
        <v>1600</v>
      </c>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429</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1010</v>
      </c>
      <c r="EP19" s="1332"/>
      <c r="EQ19" s="1332"/>
      <c r="ER19" s="1339">
        <v>875</v>
      </c>
      <c r="ES19" s="1332"/>
      <c r="ET19" s="1520"/>
      <c r="EU19" s="1520"/>
      <c r="EV19" s="1542"/>
      <c r="EW19" s="1542"/>
      <c r="EX19" s="168"/>
      <c r="EY19" s="168"/>
    </row>
    <row r="20" spans="1:155" ht="13.9" customHeight="1">
      <c r="A20" s="7" t="s">
        <v>523</v>
      </c>
      <c r="B20" s="21" t="s">
        <v>518</v>
      </c>
      <c r="C20" s="22" t="s">
        <v>8</v>
      </c>
      <c r="D20" s="23" t="s">
        <v>29</v>
      </c>
      <c r="E20" s="21" t="s">
        <v>29</v>
      </c>
      <c r="F20" s="21">
        <v>25</v>
      </c>
      <c r="G20" s="6"/>
      <c r="H20" s="24"/>
      <c r="I20" s="195" t="s">
        <v>68</v>
      </c>
      <c r="J20" s="196" t="s">
        <v>69</v>
      </c>
      <c r="K20" s="196" t="s">
        <v>117</v>
      </c>
      <c r="L20" s="196" t="s">
        <v>70</v>
      </c>
      <c r="M20" s="196" t="s">
        <v>121</v>
      </c>
      <c r="N20" s="534" t="s">
        <v>626</v>
      </c>
      <c r="O20" s="534" t="s">
        <v>627</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8" t="s">
        <v>53</v>
      </c>
      <c r="I21" s="195">
        <v>0</v>
      </c>
      <c r="J21" s="196">
        <v>0</v>
      </c>
      <c r="K21" s="196">
        <v>0</v>
      </c>
      <c r="L21" s="196">
        <v>0</v>
      </c>
      <c r="M21" s="196">
        <v>0</v>
      </c>
      <c r="N21" s="196">
        <v>0</v>
      </c>
      <c r="O21" s="196">
        <v>0</v>
      </c>
      <c r="P21" s="196">
        <v>0</v>
      </c>
      <c r="Q21" s="196">
        <v>0</v>
      </c>
      <c r="R21" s="196">
        <v>2</v>
      </c>
      <c r="S21" s="196">
        <v>0</v>
      </c>
      <c r="T21" s="196">
        <v>0</v>
      </c>
      <c r="U21" s="196">
        <v>0</v>
      </c>
      <c r="V21" s="196">
        <v>0</v>
      </c>
      <c r="W21" s="196">
        <v>0</v>
      </c>
      <c r="X21" s="202">
        <v>0</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1</v>
      </c>
      <c r="AP21" s="168">
        <v>0</v>
      </c>
      <c r="AQ21" s="168">
        <v>0</v>
      </c>
      <c r="AR21" s="168">
        <v>0</v>
      </c>
      <c r="AS21" s="381" t="s">
        <v>205</v>
      </c>
      <c r="AT21" s="345"/>
      <c r="AU21" s="215"/>
      <c r="AV21" s="216"/>
      <c r="AW21" s="215"/>
      <c r="AX21" s="216"/>
      <c r="AY21" s="138">
        <f t="shared" si="16"/>
        <v>0</v>
      </c>
      <c r="AZ21" s="139">
        <f t="shared" si="17"/>
        <v>0</v>
      </c>
      <c r="BA21" s="139">
        <f t="shared" si="18"/>
        <v>0</v>
      </c>
      <c r="BB21" s="139">
        <f t="shared" si="19"/>
        <v>0</v>
      </c>
      <c r="BC21" s="135">
        <f t="shared" si="20"/>
        <v>0</v>
      </c>
      <c r="BD21" s="136" t="str">
        <f t="shared" si="12"/>
        <v xml:space="preserve"> - </v>
      </c>
      <c r="BE21" s="137" t="str">
        <f t="shared" si="13"/>
        <v xml:space="preserve"> - </v>
      </c>
      <c r="BF21" s="137" t="str">
        <f t="shared" si="14"/>
        <v xml:space="preserve"> - </v>
      </c>
      <c r="BG21" s="209" t="str">
        <f t="shared" si="11"/>
        <v xml:space="preserve"> - </v>
      </c>
      <c r="BH21" s="168">
        <v>1</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415</v>
      </c>
      <c r="CO21" s="170">
        <v>450</v>
      </c>
      <c r="CP21" s="186" t="s">
        <v>415</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1022</v>
      </c>
      <c r="EP21" s="381"/>
      <c r="EQ21" s="381"/>
      <c r="ER21" s="1341" t="s">
        <v>1005</v>
      </c>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t="s">
        <v>121</v>
      </c>
      <c r="J22" s="196" t="s">
        <v>121</v>
      </c>
      <c r="K22" s="196" t="s">
        <v>121</v>
      </c>
      <c r="L22" s="196" t="s">
        <v>121</v>
      </c>
      <c r="M22" s="196" t="s">
        <v>121</v>
      </c>
      <c r="N22" s="196" t="s">
        <v>628</v>
      </c>
      <c r="O22" s="196" t="s">
        <v>300</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432</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1013</v>
      </c>
      <c r="EP22" s="381"/>
      <c r="EQ22" s="381"/>
      <c r="ER22" s="1339">
        <v>2400</v>
      </c>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21">SUBTOTAL(9,I15:I22)</f>
        <v>614</v>
      </c>
      <c r="J23" s="197">
        <f t="shared" si="21"/>
        <v>1764</v>
      </c>
      <c r="K23" s="197">
        <f t="shared" si="21"/>
        <v>1645</v>
      </c>
      <c r="L23" s="197">
        <f t="shared" si="21"/>
        <v>741</v>
      </c>
      <c r="M23" s="197">
        <f t="shared" si="21"/>
        <v>155</v>
      </c>
      <c r="N23" s="197">
        <f t="shared" si="21"/>
        <v>1123</v>
      </c>
      <c r="O23" s="197">
        <f t="shared" si="21"/>
        <v>5</v>
      </c>
      <c r="P23" s="197">
        <f t="shared" si="21"/>
        <v>54</v>
      </c>
      <c r="Q23" s="197">
        <f t="shared" si="21"/>
        <v>34</v>
      </c>
      <c r="R23" s="197">
        <f t="shared" si="21"/>
        <v>165</v>
      </c>
      <c r="S23" s="197">
        <f t="shared" si="21"/>
        <v>737</v>
      </c>
      <c r="T23" s="197">
        <f t="shared" si="21"/>
        <v>2127</v>
      </c>
      <c r="U23" s="197">
        <f t="shared" si="21"/>
        <v>2050</v>
      </c>
      <c r="V23" s="197">
        <f t="shared" si="21"/>
        <v>817</v>
      </c>
      <c r="W23" s="197">
        <f t="shared" si="21"/>
        <v>212</v>
      </c>
      <c r="X23" s="197">
        <f t="shared" si="21"/>
        <v>1423</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13</v>
      </c>
      <c r="AM23" s="197">
        <f t="shared" si="21"/>
        <v>13</v>
      </c>
      <c r="AN23" s="197">
        <f t="shared" si="21"/>
        <v>0</v>
      </c>
      <c r="AO23" s="197">
        <f t="shared" si="21"/>
        <v>8</v>
      </c>
      <c r="AP23" s="197">
        <f t="shared" si="21"/>
        <v>6</v>
      </c>
      <c r="AQ23" s="197">
        <f t="shared" si="21"/>
        <v>6</v>
      </c>
      <c r="AR23" s="197">
        <f t="shared" si="21"/>
        <v>6</v>
      </c>
      <c r="AS23" s="197">
        <f t="shared" si="21"/>
        <v>0</v>
      </c>
      <c r="AT23" s="197">
        <f t="shared" si="21"/>
        <v>0</v>
      </c>
      <c r="AU23" s="217"/>
      <c r="AV23" s="142"/>
      <c r="AW23" s="217"/>
      <c r="AX23" s="142"/>
      <c r="AY23" s="197">
        <f>SUBTOTAL(9,AY15:AY22)</f>
        <v>737</v>
      </c>
      <c r="AZ23" s="197">
        <f>SUBTOTAL(9,AZ15:AZ22)</f>
        <v>2127</v>
      </c>
      <c r="BA23" s="197">
        <f>SUBTOTAL(9,BA15:BA22)</f>
        <v>2050</v>
      </c>
      <c r="BB23" s="197">
        <f>SUBTOTAL(9,BB15:BB22)</f>
        <v>817</v>
      </c>
      <c r="BC23" s="197">
        <f>SUBTOTAL(9,BC15:BC22)</f>
        <v>212</v>
      </c>
      <c r="BD23" s="219">
        <f>IF(ISNUMBER(BA23/AZ23),BA23/AZ23," - ")</f>
        <v>0.96379877762106247</v>
      </c>
      <c r="BE23" s="220">
        <f>IF(ISNUMBER(BB23/BA23),BB23/BA23, " - ")</f>
        <v>0.39853658536585368</v>
      </c>
      <c r="BF23" s="220">
        <f>IF(ISNUMBER(BC23/BA23),BC23/BA23, " - ")</f>
        <v>0.10341463414634146</v>
      </c>
      <c r="BG23" s="221">
        <f>IF(ISNUMBER((AY23+AZ23)/BA23),(AY23+AZ23)/BA23," - ")</f>
        <v>1.3970731707317072</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t="s">
        <v>79</v>
      </c>
      <c r="J25" s="196" t="s">
        <v>80</v>
      </c>
      <c r="K25" s="196" t="s">
        <v>82</v>
      </c>
      <c r="L25" s="196" t="s">
        <v>81</v>
      </c>
      <c r="M25" s="196" t="s">
        <v>83</v>
      </c>
      <c r="N25" s="196" t="s">
        <v>625</v>
      </c>
      <c r="O25" s="196" t="s">
        <v>295</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518</v>
      </c>
      <c r="C28" s="22" t="s">
        <v>8</v>
      </c>
      <c r="D28" s="23" t="s">
        <v>31</v>
      </c>
      <c r="E28" s="21" t="s">
        <v>31</v>
      </c>
      <c r="F28" s="21">
        <v>24</v>
      </c>
      <c r="G28" s="6"/>
      <c r="H28" s="30" t="s">
        <v>54</v>
      </c>
      <c r="I28" s="195" t="s">
        <v>37</v>
      </c>
      <c r="J28" s="196" t="s">
        <v>374</v>
      </c>
      <c r="K28" s="196" t="s">
        <v>39</v>
      </c>
      <c r="L28" s="196" t="s">
        <v>38</v>
      </c>
      <c r="M28" s="196" t="s">
        <v>171</v>
      </c>
      <c r="N28" s="196" t="s">
        <v>699</v>
      </c>
      <c r="O28" s="196" t="s">
        <v>296</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414</v>
      </c>
      <c r="CO28" s="170">
        <v>850</v>
      </c>
      <c r="CP28" s="186" t="s">
        <v>414</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1001</v>
      </c>
      <c r="EP28" s="1336"/>
      <c r="EQ28" s="1336"/>
      <c r="ER28" s="1341" t="s">
        <v>1004</v>
      </c>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t="s">
        <v>121</v>
      </c>
      <c r="J29" s="196" t="s">
        <v>121</v>
      </c>
      <c r="K29" s="196" t="s">
        <v>121</v>
      </c>
      <c r="L29" s="196" t="s">
        <v>121</v>
      </c>
      <c r="M29" s="196" t="s">
        <v>121</v>
      </c>
      <c r="N29" s="196" t="s">
        <v>700</v>
      </c>
      <c r="O29" s="196" t="s">
        <v>301</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433</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1025</v>
      </c>
      <c r="EP29" s="1332"/>
      <c r="EQ29" s="1332"/>
      <c r="ER29" s="1339">
        <v>3500</v>
      </c>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2366</v>
      </c>
      <c r="J31" s="144">
        <f t="shared" si="36"/>
        <v>2503</v>
      </c>
      <c r="K31" s="144">
        <f t="shared" si="36"/>
        <v>2344</v>
      </c>
      <c r="L31" s="144">
        <f t="shared" si="36"/>
        <v>2419</v>
      </c>
      <c r="M31" s="144">
        <f t="shared" si="36"/>
        <v>394</v>
      </c>
      <c r="N31" s="144">
        <f t="shared" si="36"/>
        <v>1418</v>
      </c>
      <c r="O31" s="144">
        <f t="shared" si="36"/>
        <v>198</v>
      </c>
      <c r="P31" s="144">
        <f t="shared" si="36"/>
        <v>261</v>
      </c>
      <c r="Q31" s="144">
        <f t="shared" si="36"/>
        <v>145</v>
      </c>
      <c r="R31" s="144">
        <f t="shared" si="36"/>
        <v>4225</v>
      </c>
      <c r="S31" s="144">
        <f t="shared" si="36"/>
        <v>2535</v>
      </c>
      <c r="T31" s="144">
        <f t="shared" si="36"/>
        <v>2744</v>
      </c>
      <c r="U31" s="144">
        <f t="shared" si="36"/>
        <v>2688</v>
      </c>
      <c r="V31" s="144">
        <f t="shared" si="36"/>
        <v>2533</v>
      </c>
      <c r="W31" s="144">
        <f t="shared" si="36"/>
        <v>437</v>
      </c>
      <c r="X31" s="144">
        <f t="shared" si="36"/>
        <v>1568</v>
      </c>
      <c r="Y31" s="144">
        <f t="shared" si="36"/>
        <v>35</v>
      </c>
      <c r="Z31" s="144">
        <f t="shared" si="36"/>
        <v>127</v>
      </c>
      <c r="AA31" s="144">
        <f t="shared" si="36"/>
        <v>104</v>
      </c>
      <c r="AB31" s="144">
        <f t="shared" si="36"/>
        <v>58</v>
      </c>
      <c r="AC31" s="144">
        <f t="shared" si="36"/>
        <v>0</v>
      </c>
      <c r="AD31" s="144">
        <f t="shared" si="36"/>
        <v>1</v>
      </c>
      <c r="AE31" s="144">
        <f t="shared" si="36"/>
        <v>1</v>
      </c>
      <c r="AF31" s="144">
        <f t="shared" si="36"/>
        <v>0</v>
      </c>
      <c r="AG31" s="144">
        <f t="shared" si="36"/>
        <v>40</v>
      </c>
      <c r="AH31" s="144">
        <f t="shared" si="36"/>
        <v>54</v>
      </c>
      <c r="AI31" s="144">
        <f t="shared" si="36"/>
        <v>48</v>
      </c>
      <c r="AJ31" s="144">
        <f t="shared" si="36"/>
        <v>48</v>
      </c>
      <c r="AK31" s="144">
        <f t="shared" si="36"/>
        <v>0</v>
      </c>
      <c r="AL31" s="144">
        <f t="shared" si="36"/>
        <v>13</v>
      </c>
      <c r="AM31" s="144">
        <f t="shared" si="36"/>
        <v>13</v>
      </c>
      <c r="AN31" s="224">
        <f t="shared" si="36"/>
        <v>0</v>
      </c>
      <c r="AO31" s="225">
        <v>8</v>
      </c>
      <c r="AP31" s="225">
        <v>6</v>
      </c>
      <c r="AQ31" s="225">
        <v>6</v>
      </c>
      <c r="AR31" s="225">
        <v>6</v>
      </c>
      <c r="AS31" s="166">
        <f t="shared" si="36"/>
        <v>0</v>
      </c>
      <c r="AT31" s="166">
        <f t="shared" si="36"/>
        <v>0</v>
      </c>
      <c r="AU31" s="225"/>
      <c r="AV31" s="226"/>
      <c r="AW31" s="225"/>
      <c r="AX31" s="226"/>
      <c r="AY31" s="143">
        <f>SUBTOTAL(9,AY9:AY30)</f>
        <v>2575</v>
      </c>
      <c r="AZ31" s="144">
        <f>SUBTOTAL(9,AZ9:AZ30)</f>
        <v>2798</v>
      </c>
      <c r="BA31" s="144">
        <f>SUBTOTAL(9,BA9:BA30)</f>
        <v>2736</v>
      </c>
      <c r="BB31" s="144">
        <f>SUBTOTAL(9,BB9:BB30)</f>
        <v>2581</v>
      </c>
      <c r="BC31" s="145">
        <f>SUBTOTAL(9,BC9:BC30)</f>
        <v>358</v>
      </c>
      <c r="BD31" s="227">
        <f>IF(ISNUMBER(BA31/AZ31),BA31/AZ31," - ")</f>
        <v>0.97784131522516082</v>
      </c>
      <c r="BE31" s="224">
        <f>IF(ISNUMBER(BB31/BA31),BB31/BA31, " - ")</f>
        <v>0.94334795321637432</v>
      </c>
      <c r="BF31" s="224">
        <f>IF(ISNUMBER(BC31/BA31),BC31/BA31, " - ")</f>
        <v>0.13084795321637427</v>
      </c>
      <c r="BG31" s="145">
        <f>IF(ISNUMBER((AY31+AZ31)/BA31),(AY31+AZ31)/BA31," - ")</f>
        <v>1.9638157894736843</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4mGgoxrNA27lREUA63RpuRu9eC8q1Nf2JnVtxHNk1kG9v79LrZDcWaR8bDamzfw67yCIyKa1w9okqGNvdW8Ww==" saltValue="eV2nGIRaaVzalWJLNf6W5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349</v>
      </c>
      <c r="CF4" s="1829"/>
      <c r="CG4" s="1829"/>
      <c r="CH4" s="1830"/>
    </row>
    <row r="5" spans="1:155" ht="12.75" customHeight="1" thickBot="1">
      <c r="A5" s="1798" t="str">
        <f>"Año:  " &amp;Criterios!B5 &amp; "                  Trimestre   " &amp;Criterios!D5 &amp; " al " &amp;Criterios!D6</f>
        <v>Año:  2022                  Trimestre   3 al 3</v>
      </c>
      <c r="B5" s="1800" t="s">
        <v>515</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306</v>
      </c>
      <c r="AV5" s="1784" t="s">
        <v>304</v>
      </c>
      <c r="AW5" s="1784" t="s">
        <v>307</v>
      </c>
      <c r="AX5" s="1784" t="s">
        <v>305</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501</v>
      </c>
      <c r="BN5" s="1686"/>
      <c r="BO5" s="1687"/>
      <c r="BP5" s="1686"/>
      <c r="BQ5" s="1687"/>
      <c r="BR5" s="1686"/>
      <c r="BS5" s="1687"/>
      <c r="BT5" s="1686"/>
      <c r="BU5" s="1687"/>
      <c r="BV5" s="1839" t="s">
        <v>348</v>
      </c>
      <c r="BW5" s="1876" t="s">
        <v>326</v>
      </c>
      <c r="BX5" s="1876" t="s">
        <v>327</v>
      </c>
      <c r="BY5" s="1831" t="s">
        <v>335</v>
      </c>
      <c r="BZ5" s="1831" t="s">
        <v>461</v>
      </c>
      <c r="CA5" s="1759" t="s">
        <v>364</v>
      </c>
      <c r="CB5" s="1759" t="s">
        <v>355</v>
      </c>
      <c r="CC5" s="1759" t="s">
        <v>356</v>
      </c>
      <c r="CD5" s="1759" t="s">
        <v>357</v>
      </c>
      <c r="CE5" s="1771" t="s">
        <v>368</v>
      </c>
      <c r="CF5" s="1771" t="s">
        <v>347</v>
      </c>
      <c r="CG5" s="1771" t="s">
        <v>345</v>
      </c>
      <c r="CH5" s="1771" t="s">
        <v>346</v>
      </c>
      <c r="CI5" s="1753" t="s">
        <v>375</v>
      </c>
      <c r="CJ5" s="1753" t="s">
        <v>376</v>
      </c>
      <c r="CK5" s="1756" t="s">
        <v>601</v>
      </c>
      <c r="CL5" s="1756" t="s">
        <v>602</v>
      </c>
      <c r="CM5" s="1756" t="s">
        <v>603</v>
      </c>
      <c r="CN5" s="1772" t="s">
        <v>483</v>
      </c>
      <c r="CO5" s="1772" t="s">
        <v>476</v>
      </c>
      <c r="CP5" s="1772" t="s">
        <v>482</v>
      </c>
      <c r="CQ5" s="1775" t="s">
        <v>481</v>
      </c>
      <c r="CR5" s="1775" t="s">
        <v>61</v>
      </c>
      <c r="CS5" s="1771" t="s">
        <v>502</v>
      </c>
      <c r="CT5" s="1771" t="s">
        <v>505</v>
      </c>
      <c r="CU5" s="1771" t="s">
        <v>291</v>
      </c>
      <c r="CV5" s="1771" t="s">
        <v>404</v>
      </c>
      <c r="CW5" s="1771" t="s">
        <v>435</v>
      </c>
      <c r="CX5" s="1771" t="s">
        <v>446</v>
      </c>
      <c r="CY5" s="1771" t="s">
        <v>572</v>
      </c>
      <c r="CZ5" s="1771" t="s">
        <v>573</v>
      </c>
      <c r="DA5" s="1771" t="s">
        <v>574</v>
      </c>
      <c r="DB5" s="1768" t="s">
        <v>256</v>
      </c>
      <c r="DC5" s="1768" t="s">
        <v>257</v>
      </c>
      <c r="DD5" s="1768" t="s">
        <v>258</v>
      </c>
      <c r="DE5" s="1778" t="s">
        <v>229</v>
      </c>
      <c r="DF5" s="1778" t="s">
        <v>527</v>
      </c>
      <c r="DG5" s="1771" t="s">
        <v>587</v>
      </c>
      <c r="DH5" s="1756" t="s">
        <v>546</v>
      </c>
      <c r="DI5" s="1756" t="s">
        <v>547</v>
      </c>
      <c r="DJ5" s="1756" t="s">
        <v>584</v>
      </c>
      <c r="DK5" s="1756" t="s">
        <v>638</v>
      </c>
      <c r="DL5" s="1756" t="s">
        <v>641</v>
      </c>
      <c r="DM5" s="1848" t="s">
        <v>705</v>
      </c>
      <c r="DN5" s="1848" t="s">
        <v>706</v>
      </c>
      <c r="DO5" s="1848" t="s">
        <v>707</v>
      </c>
      <c r="DP5" s="1848" t="s">
        <v>708</v>
      </c>
      <c r="DQ5" s="1848" t="s">
        <v>709</v>
      </c>
      <c r="DR5" s="1848" t="s">
        <v>710</v>
      </c>
      <c r="DS5" s="1848" t="s">
        <v>711</v>
      </c>
      <c r="DT5" s="1848" t="s">
        <v>712</v>
      </c>
      <c r="DU5" s="1861" t="s">
        <v>713</v>
      </c>
      <c r="DV5" s="1861" t="s">
        <v>714</v>
      </c>
      <c r="DW5" s="1858" t="s">
        <v>715</v>
      </c>
      <c r="DX5" s="1848" t="s">
        <v>716</v>
      </c>
      <c r="DY5" s="1855" t="s">
        <v>717</v>
      </c>
      <c r="DZ5" s="1858" t="s">
        <v>718</v>
      </c>
      <c r="EA5" s="1855" t="s">
        <v>719</v>
      </c>
      <c r="EB5" s="1852" t="s">
        <v>779</v>
      </c>
      <c r="EC5" s="1852" t="s">
        <v>816</v>
      </c>
      <c r="ED5" s="1852" t="s">
        <v>781</v>
      </c>
      <c r="EE5" s="1852" t="s">
        <v>821</v>
      </c>
      <c r="EF5" s="1852" t="s">
        <v>822</v>
      </c>
      <c r="EG5" s="1855" t="s">
        <v>823</v>
      </c>
      <c r="EH5" s="1855" t="s">
        <v>824</v>
      </c>
      <c r="EI5" s="1855" t="s">
        <v>783</v>
      </c>
      <c r="EJ5" s="1855" t="s">
        <v>784</v>
      </c>
      <c r="EK5" s="1879" t="s">
        <v>872</v>
      </c>
      <c r="EL5" s="1870" t="s">
        <v>890</v>
      </c>
      <c r="EM5" s="1871"/>
      <c r="EN5" s="1872"/>
      <c r="EO5" s="1768" t="s">
        <v>990</v>
      </c>
      <c r="EP5" s="1768" t="s">
        <v>992</v>
      </c>
      <c r="EQ5" s="1768" t="s">
        <v>993</v>
      </c>
      <c r="ER5" s="1768" t="s">
        <v>998</v>
      </c>
      <c r="ES5" s="1768" t="s">
        <v>1008</v>
      </c>
      <c r="ET5" s="1864" t="s">
        <v>1088</v>
      </c>
      <c r="EU5" s="1864" t="s">
        <v>1089</v>
      </c>
      <c r="EV5" s="1771" t="s">
        <v>1110</v>
      </c>
      <c r="EW5" s="1855" t="s">
        <v>1113</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989</v>
      </c>
      <c r="B7" s="1802"/>
      <c r="C7" s="1805"/>
      <c r="D7" s="69" t="s">
        <v>516</v>
      </c>
      <c r="E7" s="70" t="s">
        <v>170</v>
      </c>
      <c r="F7" s="70" t="s">
        <v>169</v>
      </c>
      <c r="G7" s="131" t="s">
        <v>51</v>
      </c>
      <c r="H7" s="132" t="s">
        <v>517</v>
      </c>
      <c r="I7" s="9" t="s">
        <v>489</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891</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518</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297</v>
      </c>
      <c r="BK8" s="53" t="s">
        <v>302</v>
      </c>
      <c r="BL8" s="53" t="s">
        <v>303</v>
      </c>
      <c r="BM8" s="53"/>
      <c r="BN8" s="53"/>
      <c r="BO8" s="53"/>
      <c r="BP8" s="53"/>
      <c r="BQ8" s="53"/>
      <c r="BR8" s="53"/>
      <c r="BS8" s="53"/>
      <c r="BT8" s="53"/>
      <c r="BU8" s="53"/>
      <c r="BV8" s="53" t="s">
        <v>359</v>
      </c>
      <c r="BW8" s="53" t="s">
        <v>360</v>
      </c>
      <c r="BX8" s="53" t="s">
        <v>365</v>
      </c>
      <c r="BY8" s="53" t="s">
        <v>367</v>
      </c>
      <c r="BZ8" s="53" t="s">
        <v>377</v>
      </c>
      <c r="CA8" s="53" t="s">
        <v>378</v>
      </c>
      <c r="CB8" s="53" t="s">
        <v>462</v>
      </c>
      <c r="CC8" s="53" t="s">
        <v>465</v>
      </c>
      <c r="CD8" s="53" t="s">
        <v>467</v>
      </c>
      <c r="CE8" s="53" t="s">
        <v>477</v>
      </c>
      <c r="CF8" s="53" t="s">
        <v>478</v>
      </c>
      <c r="CG8" s="53" t="s">
        <v>479</v>
      </c>
      <c r="CH8" s="53" t="s">
        <v>480</v>
      </c>
      <c r="CI8" s="53" t="s">
        <v>504</v>
      </c>
      <c r="CJ8" s="53" t="s">
        <v>506</v>
      </c>
      <c r="CK8" s="53" t="s">
        <v>292</v>
      </c>
      <c r="CL8" s="53" t="s">
        <v>411</v>
      </c>
      <c r="CM8" s="53" t="s">
        <v>416</v>
      </c>
      <c r="CN8" s="53"/>
      <c r="CO8" s="53"/>
      <c r="CP8" s="53"/>
      <c r="CQ8" s="53" t="s">
        <v>455</v>
      </c>
      <c r="CR8" s="53" t="s">
        <v>456</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528</v>
      </c>
      <c r="DF8" s="53" t="s">
        <v>62</v>
      </c>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2"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532" t="s">
        <v>892</v>
      </c>
      <c r="EM8" s="532" t="s">
        <v>893</v>
      </c>
      <c r="EN8" s="532" t="s">
        <v>894</v>
      </c>
      <c r="EO8" s="53" t="s">
        <v>991</v>
      </c>
      <c r="EP8" s="53" t="s">
        <v>996</v>
      </c>
      <c r="EQ8" s="53" t="s">
        <v>997</v>
      </c>
      <c r="ER8" s="532">
        <v>148</v>
      </c>
      <c r="ES8" s="532" t="s">
        <v>1009</v>
      </c>
      <c r="ET8" s="1519" t="s">
        <v>1090</v>
      </c>
      <c r="EU8" s="1519" t="s">
        <v>1091</v>
      </c>
      <c r="EV8" s="1519" t="s">
        <v>1099</v>
      </c>
      <c r="EW8" s="532" t="s">
        <v>1112</v>
      </c>
      <c r="EX8" s="532" t="s">
        <v>1145</v>
      </c>
      <c r="EY8" s="532" t="s">
        <v>1158</v>
      </c>
    </row>
    <row r="9" spans="1:155" s="788" customFormat="1" ht="14.25" customHeight="1">
      <c r="A9" s="823" t="s">
        <v>72</v>
      </c>
      <c r="B9" s="770" t="s">
        <v>518</v>
      </c>
      <c r="C9" s="771" t="s">
        <v>8</v>
      </c>
      <c r="D9" s="772" t="s">
        <v>25</v>
      </c>
      <c r="E9" s="770" t="s">
        <v>26</v>
      </c>
      <c r="F9" s="770">
        <v>32</v>
      </c>
      <c r="G9" s="773"/>
      <c r="H9" s="824" t="s">
        <v>319</v>
      </c>
      <c r="I9" s="825" t="s">
        <v>1149</v>
      </c>
      <c r="J9" s="775" t="s">
        <v>1151</v>
      </c>
      <c r="K9" s="775" t="s">
        <v>1153</v>
      </c>
      <c r="L9" s="775" t="s">
        <v>1155</v>
      </c>
      <c r="M9" s="775" t="s">
        <v>1157</v>
      </c>
      <c r="N9" s="775" t="s">
        <v>1161</v>
      </c>
      <c r="O9" s="775" t="s">
        <v>420</v>
      </c>
      <c r="P9" s="775" t="s">
        <v>484</v>
      </c>
      <c r="Q9" s="775" t="s">
        <v>485</v>
      </c>
      <c r="R9" s="775" t="s">
        <v>486</v>
      </c>
      <c r="S9" s="775"/>
      <c r="T9" s="775"/>
      <c r="U9" s="775"/>
      <c r="V9" s="775"/>
      <c r="W9" s="775"/>
      <c r="X9" s="826"/>
      <c r="Y9" s="827" t="s">
        <v>266</v>
      </c>
      <c r="Z9" s="775" t="s">
        <v>487</v>
      </c>
      <c r="AA9" s="775" t="s">
        <v>208</v>
      </c>
      <c r="AB9" s="775" t="s">
        <v>209</v>
      </c>
      <c r="AC9" s="775"/>
      <c r="AD9" s="775"/>
      <c r="AE9" s="775"/>
      <c r="AF9" s="826"/>
      <c r="AG9" s="827"/>
      <c r="AH9" s="775"/>
      <c r="AI9" s="775"/>
      <c r="AJ9" s="828"/>
      <c r="AK9" s="825"/>
      <c r="AL9" s="775"/>
      <c r="AM9" s="775"/>
      <c r="AN9" s="826"/>
      <c r="AO9" s="829"/>
      <c r="AP9" s="829"/>
      <c r="AQ9" s="829"/>
      <c r="AR9" s="830"/>
      <c r="AS9" s="831" t="s">
        <v>1167</v>
      </c>
      <c r="AT9" s="832"/>
      <c r="AU9" s="831" t="s">
        <v>1075</v>
      </c>
      <c r="AV9" s="832"/>
      <c r="AW9" s="831" t="s">
        <v>1078</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661</v>
      </c>
      <c r="BW9" s="530" t="s">
        <v>388</v>
      </c>
      <c r="BX9" s="530" t="s">
        <v>389</v>
      </c>
      <c r="BY9" s="530" t="s">
        <v>1174</v>
      </c>
      <c r="BZ9" s="530" t="s">
        <v>643</v>
      </c>
      <c r="CA9" s="530" t="s">
        <v>532</v>
      </c>
      <c r="CB9" s="530" t="s">
        <v>533</v>
      </c>
      <c r="CC9" s="530" t="s">
        <v>534</v>
      </c>
      <c r="CD9" s="530" t="s">
        <v>535</v>
      </c>
      <c r="CE9" s="530"/>
      <c r="CF9" s="530"/>
      <c r="CG9" s="530"/>
      <c r="CH9" s="530"/>
      <c r="CI9" s="530" t="s">
        <v>671</v>
      </c>
      <c r="CJ9" s="530" t="s">
        <v>536</v>
      </c>
      <c r="CK9" s="530" t="s">
        <v>655</v>
      </c>
      <c r="CL9" s="530" t="s">
        <v>657</v>
      </c>
      <c r="CM9" s="530" t="s">
        <v>659</v>
      </c>
      <c r="CN9" s="530">
        <v>1088</v>
      </c>
      <c r="CO9" s="530">
        <v>720</v>
      </c>
      <c r="CP9" s="530">
        <v>1088</v>
      </c>
      <c r="CQ9" s="836" t="s">
        <v>1134</v>
      </c>
      <c r="CR9" s="836" t="s">
        <v>644</v>
      </c>
      <c r="CS9" s="530"/>
      <c r="CT9" s="530"/>
      <c r="CU9" s="530"/>
      <c r="CV9" s="530" t="s">
        <v>666</v>
      </c>
      <c r="CW9" s="530" t="s">
        <v>531</v>
      </c>
      <c r="CX9" s="530" t="s">
        <v>453</v>
      </c>
      <c r="CY9" s="530" t="s">
        <v>575</v>
      </c>
      <c r="CZ9" s="530" t="s">
        <v>576</v>
      </c>
      <c r="DA9" s="530" t="s">
        <v>577</v>
      </c>
      <c r="DB9" s="831" t="s">
        <v>1168</v>
      </c>
      <c r="DC9" s="831" t="s">
        <v>1169</v>
      </c>
      <c r="DD9" s="530"/>
      <c r="DE9" s="530" t="s">
        <v>310</v>
      </c>
      <c r="DF9" s="530"/>
      <c r="DG9" s="530" t="s">
        <v>588</v>
      </c>
      <c r="DH9" s="530" t="s">
        <v>663</v>
      </c>
      <c r="DI9" s="530" t="s">
        <v>664</v>
      </c>
      <c r="DJ9" s="530" t="s">
        <v>665</v>
      </c>
      <c r="DK9" s="530"/>
      <c r="DL9" s="530"/>
      <c r="DM9" s="530"/>
      <c r="DN9" s="530"/>
      <c r="DO9" s="530"/>
      <c r="DP9" s="530"/>
      <c r="DQ9" s="530"/>
      <c r="DR9" s="530"/>
      <c r="DS9" s="530"/>
      <c r="DT9" s="530"/>
      <c r="DU9" s="530" t="s">
        <v>879</v>
      </c>
      <c r="DV9" s="530" t="s">
        <v>874</v>
      </c>
      <c r="DW9" s="530" t="s">
        <v>875</v>
      </c>
      <c r="DX9" s="530" t="s">
        <v>876</v>
      </c>
      <c r="DY9" s="530" t="s">
        <v>877</v>
      </c>
      <c r="DZ9" s="530"/>
      <c r="EA9" s="530"/>
      <c r="EB9" s="530"/>
      <c r="EC9" s="530"/>
      <c r="ED9" s="530"/>
      <c r="EE9" s="530"/>
      <c r="EF9" s="530"/>
      <c r="EG9" s="530"/>
      <c r="EH9" s="530"/>
      <c r="EI9" s="530"/>
      <c r="EJ9" s="530"/>
      <c r="EK9" s="530"/>
      <c r="EL9" s="836" t="s">
        <v>1060</v>
      </c>
      <c r="EM9" s="836" t="s">
        <v>1061</v>
      </c>
      <c r="EN9" s="530" t="s">
        <v>1059</v>
      </c>
      <c r="EO9" s="1318" t="s">
        <v>1170</v>
      </c>
      <c r="EP9" s="1318" t="s">
        <v>1140</v>
      </c>
      <c r="EQ9" s="1318" t="s">
        <v>1141</v>
      </c>
      <c r="ER9" s="1337">
        <v>1200</v>
      </c>
      <c r="ES9" s="1331"/>
      <c r="ET9" s="1520"/>
      <c r="EU9" s="1520"/>
      <c r="EV9" s="530" t="s">
        <v>1102</v>
      </c>
      <c r="EW9" s="530"/>
      <c r="EX9" s="530"/>
      <c r="EY9" s="530"/>
    </row>
    <row r="10" spans="1:155" ht="14.25" customHeight="1">
      <c r="A10" s="147" t="s">
        <v>188</v>
      </c>
      <c r="B10" s="21" t="s">
        <v>518</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1016</v>
      </c>
      <c r="AT10" s="66"/>
      <c r="AU10" s="161" t="s">
        <v>1017</v>
      </c>
      <c r="AV10" s="66"/>
      <c r="AW10" s="161" t="s">
        <v>1018</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395</v>
      </c>
      <c r="BW10" s="167" t="s">
        <v>458</v>
      </c>
      <c r="BX10" s="167" t="s">
        <v>459</v>
      </c>
      <c r="BY10" s="167" t="s">
        <v>1019</v>
      </c>
      <c r="BZ10" s="167"/>
      <c r="CA10" s="167"/>
      <c r="CB10" s="167"/>
      <c r="CC10" s="167"/>
      <c r="CD10" s="167"/>
      <c r="CE10" s="167"/>
      <c r="CF10" s="167"/>
      <c r="CG10" s="167"/>
      <c r="CH10" s="167"/>
      <c r="CI10" s="167" t="s">
        <v>673</v>
      </c>
      <c r="CJ10" s="167" t="s">
        <v>385</v>
      </c>
      <c r="CK10" s="167" t="s">
        <v>605</v>
      </c>
      <c r="CL10" s="167" t="s">
        <v>606</v>
      </c>
      <c r="CM10" s="167" t="s">
        <v>607</v>
      </c>
      <c r="CN10" s="167">
        <v>1175</v>
      </c>
      <c r="CO10" s="167">
        <v>0</v>
      </c>
      <c r="CP10" s="315" t="s">
        <v>538</v>
      </c>
      <c r="CQ10" s="167" t="s">
        <v>1020</v>
      </c>
      <c r="CR10" s="167"/>
      <c r="CS10" s="167"/>
      <c r="CT10" s="169"/>
      <c r="CU10" s="169"/>
      <c r="CV10" s="169" t="s">
        <v>406</v>
      </c>
      <c r="CW10" s="169" t="s">
        <v>445</v>
      </c>
      <c r="CX10" s="169" t="s">
        <v>448</v>
      </c>
      <c r="CY10" s="169" t="s">
        <v>674</v>
      </c>
      <c r="CZ10" s="169" t="s">
        <v>675</v>
      </c>
      <c r="DA10" s="169" t="s">
        <v>676</v>
      </c>
      <c r="DB10" s="355" t="s">
        <v>688</v>
      </c>
      <c r="DC10" s="354"/>
      <c r="DD10" s="169"/>
      <c r="DE10" s="169" t="s">
        <v>311</v>
      </c>
      <c r="DF10" s="169"/>
      <c r="DG10" s="169" t="s">
        <v>677</v>
      </c>
      <c r="DH10" s="167" t="s">
        <v>553</v>
      </c>
      <c r="DI10" s="167" t="s">
        <v>551</v>
      </c>
      <c r="DJ10" s="167" t="s">
        <v>552</v>
      </c>
      <c r="DK10" s="167"/>
      <c r="DL10" s="167"/>
      <c r="DM10" s="315"/>
      <c r="DN10" s="315"/>
      <c r="DO10" s="315"/>
      <c r="DP10" s="315"/>
      <c r="DQ10" s="315"/>
      <c r="DR10" s="315"/>
      <c r="DS10" s="315"/>
      <c r="DT10" s="315"/>
      <c r="DU10" s="168" t="s">
        <v>801</v>
      </c>
      <c r="DV10" s="315" t="s">
        <v>928</v>
      </c>
      <c r="DW10" s="315" t="s">
        <v>925</v>
      </c>
      <c r="DX10" s="315" t="s">
        <v>926</v>
      </c>
      <c r="DY10" s="315" t="s">
        <v>927</v>
      </c>
      <c r="DZ10" s="315"/>
      <c r="EA10" s="315"/>
      <c r="EB10" s="315"/>
      <c r="EC10" s="315"/>
      <c r="ED10" s="315"/>
      <c r="EE10" s="315"/>
      <c r="EF10" s="315"/>
      <c r="EG10" s="315"/>
      <c r="EH10" s="315"/>
      <c r="EI10" s="315"/>
      <c r="EJ10" s="315"/>
      <c r="EK10" s="315"/>
      <c r="EL10" s="315"/>
      <c r="EM10" s="315"/>
      <c r="EN10" s="315"/>
      <c r="EO10" s="355" t="s">
        <v>1031</v>
      </c>
      <c r="EP10" s="355" t="s">
        <v>1032</v>
      </c>
      <c r="EQ10" s="355" t="s">
        <v>1033</v>
      </c>
      <c r="ER10" s="1338">
        <v>1600</v>
      </c>
      <c r="ES10" s="380"/>
      <c r="ET10" s="1520"/>
      <c r="EU10" s="1520"/>
      <c r="EV10" s="530" t="s">
        <v>1104</v>
      </c>
      <c r="EW10" s="315"/>
      <c r="EX10" s="315"/>
      <c r="EY10" s="315"/>
    </row>
    <row r="11" spans="1:155" s="788" customFormat="1" ht="14.25" customHeight="1" thickBot="1">
      <c r="A11" s="823" t="s">
        <v>519</v>
      </c>
      <c r="B11" s="770" t="s">
        <v>518</v>
      </c>
      <c r="C11" s="771" t="s">
        <v>8</v>
      </c>
      <c r="D11" s="772" t="s">
        <v>25</v>
      </c>
      <c r="E11" s="770" t="s">
        <v>78</v>
      </c>
      <c r="F11" s="770">
        <v>32</v>
      </c>
      <c r="G11" s="773"/>
      <c r="H11" s="789" t="s">
        <v>52</v>
      </c>
      <c r="I11" s="351" t="s">
        <v>1071</v>
      </c>
      <c r="J11" s="350" t="s">
        <v>1068</v>
      </c>
      <c r="K11" s="350" t="s">
        <v>1127</v>
      </c>
      <c r="L11" s="350" t="s">
        <v>1079</v>
      </c>
      <c r="M11" s="350" t="s">
        <v>652</v>
      </c>
      <c r="N11" s="350" t="s">
        <v>56</v>
      </c>
      <c r="O11" s="775" t="s">
        <v>286</v>
      </c>
      <c r="P11" s="350" t="s">
        <v>57</v>
      </c>
      <c r="Q11" s="350" t="s">
        <v>58</v>
      </c>
      <c r="R11" s="350" t="s">
        <v>125</v>
      </c>
      <c r="S11" s="350"/>
      <c r="T11" s="350"/>
      <c r="U11" s="350"/>
      <c r="V11" s="350"/>
      <c r="W11" s="350"/>
      <c r="X11" s="776"/>
      <c r="Y11" s="827" t="s">
        <v>266</v>
      </c>
      <c r="Z11" s="775" t="s">
        <v>487</v>
      </c>
      <c r="AA11" s="775" t="s">
        <v>208</v>
      </c>
      <c r="AB11" s="775" t="s">
        <v>209</v>
      </c>
      <c r="AC11" s="350"/>
      <c r="AD11" s="350"/>
      <c r="AE11" s="350"/>
      <c r="AF11" s="776"/>
      <c r="AG11" s="777"/>
      <c r="AH11" s="350"/>
      <c r="AI11" s="350"/>
      <c r="AJ11" s="778"/>
      <c r="AK11" s="351"/>
      <c r="AL11" s="350"/>
      <c r="AM11" s="350"/>
      <c r="AN11" s="776"/>
      <c r="AO11" s="779"/>
      <c r="AP11" s="779"/>
      <c r="AQ11" s="779"/>
      <c r="AR11" s="829"/>
      <c r="AS11" s="777" t="s">
        <v>1069</v>
      </c>
      <c r="AT11" s="778"/>
      <c r="AU11" s="777" t="s">
        <v>1076</v>
      </c>
      <c r="AV11" s="778"/>
      <c r="AW11" s="777" t="s">
        <v>1080</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660</v>
      </c>
      <c r="BW11" s="530" t="s">
        <v>330</v>
      </c>
      <c r="BX11" s="530" t="s">
        <v>331</v>
      </c>
      <c r="BY11" s="790" t="s">
        <v>1176</v>
      </c>
      <c r="BZ11" s="530" t="s">
        <v>988</v>
      </c>
      <c r="CA11" s="530" t="s">
        <v>366</v>
      </c>
      <c r="CB11" s="530" t="s">
        <v>361</v>
      </c>
      <c r="CC11" s="530" t="s">
        <v>362</v>
      </c>
      <c r="CD11" s="530" t="s">
        <v>363</v>
      </c>
      <c r="CE11" s="790"/>
      <c r="CF11" s="790"/>
      <c r="CG11" s="790"/>
      <c r="CH11" s="790"/>
      <c r="CI11" s="790" t="s">
        <v>645</v>
      </c>
      <c r="CJ11" s="790" t="s">
        <v>379</v>
      </c>
      <c r="CK11" s="530" t="s">
        <v>654</v>
      </c>
      <c r="CL11" s="530" t="s">
        <v>656</v>
      </c>
      <c r="CM11" s="530" t="s">
        <v>658</v>
      </c>
      <c r="CN11" s="530">
        <v>1088</v>
      </c>
      <c r="CO11" s="790">
        <v>1000</v>
      </c>
      <c r="CP11" s="530">
        <v>1088</v>
      </c>
      <c r="CQ11" s="530" t="s">
        <v>1137</v>
      </c>
      <c r="CR11" s="530" t="s">
        <v>1136</v>
      </c>
      <c r="CS11" s="790"/>
      <c r="CT11" s="530"/>
      <c r="CU11" s="530"/>
      <c r="CV11" s="530" t="s">
        <v>666</v>
      </c>
      <c r="CW11" s="530" t="s">
        <v>438</v>
      </c>
      <c r="CX11" s="530" t="s">
        <v>453</v>
      </c>
      <c r="CY11" s="530" t="s">
        <v>575</v>
      </c>
      <c r="CZ11" s="530" t="s">
        <v>576</v>
      </c>
      <c r="DA11" s="530" t="s">
        <v>577</v>
      </c>
      <c r="DB11" s="363" t="s">
        <v>1162</v>
      </c>
      <c r="DC11" s="363" t="s">
        <v>1163</v>
      </c>
      <c r="DD11" s="530"/>
      <c r="DE11" s="530" t="s">
        <v>312</v>
      </c>
      <c r="DF11" s="530"/>
      <c r="DG11" s="530" t="s">
        <v>588</v>
      </c>
      <c r="DH11" s="530" t="s">
        <v>663</v>
      </c>
      <c r="DI11" s="530" t="s">
        <v>664</v>
      </c>
      <c r="DJ11" s="530" t="s">
        <v>665</v>
      </c>
      <c r="DK11" s="530"/>
      <c r="DL11" s="530"/>
      <c r="DM11" s="836"/>
      <c r="DN11" s="836"/>
      <c r="DO11" s="836"/>
      <c r="DP11" s="836"/>
      <c r="DQ11" s="836"/>
      <c r="DR11" s="836"/>
      <c r="DS11" s="836"/>
      <c r="DT11" s="836"/>
      <c r="DU11" s="836" t="s">
        <v>879</v>
      </c>
      <c r="DV11" s="836" t="s">
        <v>874</v>
      </c>
      <c r="DW11" s="836" t="s">
        <v>875</v>
      </c>
      <c r="DX11" s="836" t="s">
        <v>876</v>
      </c>
      <c r="DY11" s="836" t="s">
        <v>877</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1101</v>
      </c>
      <c r="EW11" s="836"/>
      <c r="EX11" s="836"/>
      <c r="EY11" s="836"/>
    </row>
    <row r="12" spans="1:155" s="788" customFormat="1" ht="14.25" customHeight="1">
      <c r="A12" s="823" t="s">
        <v>520</v>
      </c>
      <c r="B12" s="770" t="s">
        <v>518</v>
      </c>
      <c r="C12" s="771" t="s">
        <v>8</v>
      </c>
      <c r="D12" s="772" t="s">
        <v>25</v>
      </c>
      <c r="E12" s="770" t="s">
        <v>25</v>
      </c>
      <c r="F12" s="770">
        <v>31</v>
      </c>
      <c r="G12" s="773"/>
      <c r="H12" s="839"/>
      <c r="I12" s="351" t="s">
        <v>1150</v>
      </c>
      <c r="J12" s="350" t="s">
        <v>1152</v>
      </c>
      <c r="K12" s="350" t="s">
        <v>1154</v>
      </c>
      <c r="L12" s="350" t="s">
        <v>1156</v>
      </c>
      <c r="M12" s="350" t="s">
        <v>1148</v>
      </c>
      <c r="N12" s="350" t="s">
        <v>56</v>
      </c>
      <c r="O12" s="775" t="s">
        <v>286</v>
      </c>
      <c r="P12" s="350" t="s">
        <v>495</v>
      </c>
      <c r="Q12" s="350" t="s">
        <v>496</v>
      </c>
      <c r="R12" s="350" t="s">
        <v>497</v>
      </c>
      <c r="S12" s="350"/>
      <c r="T12" s="350"/>
      <c r="U12" s="350"/>
      <c r="V12" s="350"/>
      <c r="W12" s="350"/>
      <c r="X12" s="776"/>
      <c r="Y12" s="827" t="s">
        <v>266</v>
      </c>
      <c r="Z12" s="775" t="s">
        <v>487</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1164</v>
      </c>
      <c r="AT12" s="778"/>
      <c r="AU12" s="777" t="s">
        <v>1073</v>
      </c>
      <c r="AV12" s="778"/>
      <c r="AW12" s="777" t="s">
        <v>1081</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662</v>
      </c>
      <c r="BW12" s="530" t="s">
        <v>498</v>
      </c>
      <c r="BX12" s="530" t="s">
        <v>499</v>
      </c>
      <c r="BY12" s="790" t="s">
        <v>1175</v>
      </c>
      <c r="BZ12" s="530"/>
      <c r="CA12" s="530" t="s">
        <v>366</v>
      </c>
      <c r="CB12" s="530" t="s">
        <v>361</v>
      </c>
      <c r="CC12" s="530" t="s">
        <v>362</v>
      </c>
      <c r="CD12" s="530" t="s">
        <v>363</v>
      </c>
      <c r="CE12" s="790"/>
      <c r="CF12" s="790"/>
      <c r="CG12" s="790"/>
      <c r="CH12" s="790"/>
      <c r="CI12" s="790" t="s">
        <v>645</v>
      </c>
      <c r="CJ12" s="790" t="s">
        <v>379</v>
      </c>
      <c r="CK12" s="530" t="s">
        <v>655</v>
      </c>
      <c r="CL12" s="530" t="s">
        <v>657</v>
      </c>
      <c r="CM12" s="530" t="s">
        <v>659</v>
      </c>
      <c r="CN12" s="836" t="s">
        <v>434</v>
      </c>
      <c r="CO12" s="790">
        <v>2880</v>
      </c>
      <c r="CP12" s="836" t="s">
        <v>392</v>
      </c>
      <c r="CQ12" s="836" t="s">
        <v>1135</v>
      </c>
      <c r="CR12" s="836"/>
      <c r="CS12" s="790"/>
      <c r="CT12" s="530"/>
      <c r="CU12" s="530"/>
      <c r="CV12" s="530" t="s">
        <v>666</v>
      </c>
      <c r="CW12" s="530" t="s">
        <v>438</v>
      </c>
      <c r="CX12" s="530" t="s">
        <v>453</v>
      </c>
      <c r="CY12" s="530" t="s">
        <v>575</v>
      </c>
      <c r="CZ12" s="530" t="s">
        <v>576</v>
      </c>
      <c r="DA12" s="530" t="s">
        <v>577</v>
      </c>
      <c r="DB12" s="831" t="s">
        <v>1165</v>
      </c>
      <c r="DC12" s="831" t="s">
        <v>1166</v>
      </c>
      <c r="DD12" s="530"/>
      <c r="DE12" s="530" t="s">
        <v>313</v>
      </c>
      <c r="DF12" s="530"/>
      <c r="DG12" s="530" t="s">
        <v>588</v>
      </c>
      <c r="DH12" s="530" t="s">
        <v>663</v>
      </c>
      <c r="DI12" s="530" t="s">
        <v>664</v>
      </c>
      <c r="DJ12" s="530" t="s">
        <v>665</v>
      </c>
      <c r="DK12" s="530"/>
      <c r="DL12" s="530"/>
      <c r="DM12" s="836"/>
      <c r="DN12" s="836"/>
      <c r="DO12" s="836"/>
      <c r="DP12" s="836"/>
      <c r="DQ12" s="836"/>
      <c r="DR12" s="836"/>
      <c r="DS12" s="836"/>
      <c r="DT12" s="836"/>
      <c r="DU12" s="836" t="s">
        <v>879</v>
      </c>
      <c r="DV12" s="836" t="s">
        <v>874</v>
      </c>
      <c r="DW12" s="836" t="s">
        <v>875</v>
      </c>
      <c r="DX12" s="836" t="s">
        <v>876</v>
      </c>
      <c r="DY12" s="836" t="s">
        <v>877</v>
      </c>
      <c r="DZ12" s="836"/>
      <c r="EA12" s="836"/>
      <c r="EB12" s="836"/>
      <c r="EC12" s="836"/>
      <c r="ED12" s="836"/>
      <c r="EE12" s="836"/>
      <c r="EF12" s="836"/>
      <c r="EG12" s="836"/>
      <c r="EH12" s="836"/>
      <c r="EI12" s="836"/>
      <c r="EJ12" s="836"/>
      <c r="EK12" s="836"/>
      <c r="EL12" s="836" t="s">
        <v>1060</v>
      </c>
      <c r="EM12" s="836" t="s">
        <v>1061</v>
      </c>
      <c r="EN12" s="530" t="s">
        <v>1059</v>
      </c>
      <c r="EO12" s="1318" t="s">
        <v>1173</v>
      </c>
      <c r="EP12" s="1318" t="s">
        <v>1142</v>
      </c>
      <c r="EQ12" s="1318" t="s">
        <v>1143</v>
      </c>
      <c r="ER12" s="1337">
        <v>680</v>
      </c>
      <c r="ES12" s="1333"/>
      <c r="ET12" s="1520"/>
      <c r="EU12" s="1520"/>
      <c r="EV12" s="530" t="s">
        <v>1101</v>
      </c>
      <c r="EW12" s="836"/>
      <c r="EX12" s="836"/>
      <c r="EY12" s="836"/>
    </row>
    <row r="13" spans="1:155" ht="14.25" customHeight="1">
      <c r="A13" s="20" t="s">
        <v>142</v>
      </c>
      <c r="B13" s="21" t="s">
        <v>518</v>
      </c>
      <c r="C13" s="22" t="s">
        <v>8</v>
      </c>
      <c r="D13" s="23" t="s">
        <v>28</v>
      </c>
      <c r="E13" s="21" t="s">
        <v>28</v>
      </c>
      <c r="F13" s="21" t="s">
        <v>104</v>
      </c>
      <c r="G13" s="6"/>
      <c r="H13" s="29"/>
      <c r="I13" s="25" t="s">
        <v>138</v>
      </c>
      <c r="J13" s="26" t="s">
        <v>139</v>
      </c>
      <c r="K13" s="26" t="s">
        <v>140</v>
      </c>
      <c r="L13" s="26" t="s">
        <v>141</v>
      </c>
      <c r="M13" s="26" t="s">
        <v>137</v>
      </c>
      <c r="N13" s="26" t="s">
        <v>669</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397</v>
      </c>
      <c r="BW13" s="170"/>
      <c r="BX13" s="170"/>
      <c r="BY13" s="170" t="s">
        <v>430</v>
      </c>
      <c r="BZ13" s="170"/>
      <c r="CA13" s="170"/>
      <c r="CB13" s="170"/>
      <c r="CC13" s="170"/>
      <c r="CD13" s="170"/>
      <c r="CE13" s="170"/>
      <c r="CF13" s="170"/>
      <c r="CG13" s="170"/>
      <c r="CH13" s="170"/>
      <c r="CI13" s="170" t="s">
        <v>381</v>
      </c>
      <c r="CJ13" s="170" t="s">
        <v>382</v>
      </c>
      <c r="CK13" s="170" t="s">
        <v>608</v>
      </c>
      <c r="CL13" s="170" t="s">
        <v>609</v>
      </c>
      <c r="CM13" s="170" t="s">
        <v>610</v>
      </c>
      <c r="CN13" s="170">
        <v>1262</v>
      </c>
      <c r="CO13" s="170"/>
      <c r="CP13" s="170">
        <v>1262</v>
      </c>
      <c r="CQ13" s="170" t="s">
        <v>431</v>
      </c>
      <c r="CR13" s="170"/>
      <c r="CS13" s="170"/>
      <c r="CT13" s="169"/>
      <c r="CU13" s="169"/>
      <c r="CV13" s="169" t="s">
        <v>408</v>
      </c>
      <c r="CW13" s="169"/>
      <c r="CX13" s="169"/>
      <c r="CY13" s="169"/>
      <c r="CZ13" s="169"/>
      <c r="DA13" s="169"/>
      <c r="DB13" s="160" t="s">
        <v>139</v>
      </c>
      <c r="DC13" s="356"/>
      <c r="DD13" s="169"/>
      <c r="DE13" s="169" t="s">
        <v>314</v>
      </c>
      <c r="DF13" s="169"/>
      <c r="DG13" s="530"/>
      <c r="DH13" s="170" t="s">
        <v>557</v>
      </c>
      <c r="DI13" s="170" t="s">
        <v>558</v>
      </c>
      <c r="DJ13" s="170" t="s">
        <v>559</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518</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518</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521</v>
      </c>
      <c r="B16" s="770" t="s">
        <v>518</v>
      </c>
      <c r="C16" s="771" t="s">
        <v>8</v>
      </c>
      <c r="D16" s="772" t="s">
        <v>25</v>
      </c>
      <c r="E16" s="770" t="s">
        <v>27</v>
      </c>
      <c r="F16" s="770">
        <v>33</v>
      </c>
      <c r="G16" s="773"/>
      <c r="H16" s="774"/>
      <c r="I16" s="351" t="s">
        <v>681</v>
      </c>
      <c r="J16" s="350" t="s">
        <v>1039</v>
      </c>
      <c r="K16" s="350" t="s">
        <v>1047</v>
      </c>
      <c r="L16" s="350" t="s">
        <v>1052</v>
      </c>
      <c r="M16" s="350" t="s">
        <v>680</v>
      </c>
      <c r="N16" s="350" t="s">
        <v>421</v>
      </c>
      <c r="O16" s="775" t="s">
        <v>422</v>
      </c>
      <c r="P16" s="350" t="s">
        <v>635</v>
      </c>
      <c r="Q16" s="350" t="s">
        <v>636</v>
      </c>
      <c r="R16" s="350" t="s">
        <v>637</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987</v>
      </c>
      <c r="AT16" s="778" t="s">
        <v>939</v>
      </c>
      <c r="AU16" s="777" t="s">
        <v>692</v>
      </c>
      <c r="AV16" s="778" t="s">
        <v>940</v>
      </c>
      <c r="AW16" s="777" t="s">
        <v>693</v>
      </c>
      <c r="AX16" s="778" t="s">
        <v>941</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494</v>
      </c>
      <c r="BW16" s="786" t="s">
        <v>390</v>
      </c>
      <c r="BX16" s="786" t="s">
        <v>391</v>
      </c>
      <c r="BY16" s="787" t="s">
        <v>1021</v>
      </c>
      <c r="BZ16" s="787" t="s">
        <v>1118</v>
      </c>
      <c r="CA16" s="786"/>
      <c r="CB16" s="786"/>
      <c r="CC16" s="786"/>
      <c r="CD16" s="786"/>
      <c r="CE16" s="786"/>
      <c r="CF16" s="786"/>
      <c r="CG16" s="786"/>
      <c r="CH16" s="786"/>
      <c r="CI16" s="786" t="s">
        <v>651</v>
      </c>
      <c r="CJ16" s="786" t="s">
        <v>513</v>
      </c>
      <c r="CK16" s="786" t="s">
        <v>611</v>
      </c>
      <c r="CL16" s="786" t="s">
        <v>612</v>
      </c>
      <c r="CM16" s="786" t="s">
        <v>613</v>
      </c>
      <c r="CN16" s="786">
        <v>1262</v>
      </c>
      <c r="CO16" s="786">
        <v>6600</v>
      </c>
      <c r="CP16" s="786">
        <v>1262</v>
      </c>
      <c r="CQ16" s="787" t="s">
        <v>682</v>
      </c>
      <c r="CR16" s="787" t="s">
        <v>1119</v>
      </c>
      <c r="CS16" s="786" t="s">
        <v>503</v>
      </c>
      <c r="CT16" s="530"/>
      <c r="CU16" s="530"/>
      <c r="CV16" s="530" t="s">
        <v>488</v>
      </c>
      <c r="CW16" s="530" t="s">
        <v>439</v>
      </c>
      <c r="CX16" s="530" t="s">
        <v>220</v>
      </c>
      <c r="CY16" s="530"/>
      <c r="CZ16" s="530"/>
      <c r="DA16" s="530"/>
      <c r="DB16" s="363" t="s">
        <v>1040</v>
      </c>
      <c r="DC16" s="363" t="s">
        <v>1041</v>
      </c>
      <c r="DD16" s="530"/>
      <c r="DE16" s="530" t="s">
        <v>690</v>
      </c>
      <c r="DF16" s="530" t="s">
        <v>530</v>
      </c>
      <c r="DG16" s="530"/>
      <c r="DH16" s="786" t="s">
        <v>548</v>
      </c>
      <c r="DI16" s="786" t="s">
        <v>549</v>
      </c>
      <c r="DJ16" s="786" t="s">
        <v>550</v>
      </c>
      <c r="DK16" s="786"/>
      <c r="DL16" s="786"/>
      <c r="DM16" s="786"/>
      <c r="DN16" s="786"/>
      <c r="DO16" s="786"/>
      <c r="DP16" s="786"/>
      <c r="DQ16" s="786"/>
      <c r="DR16" s="786"/>
      <c r="DS16" s="786"/>
      <c r="DT16" s="786"/>
      <c r="DU16" s="786" t="s">
        <v>800</v>
      </c>
      <c r="DV16" s="786"/>
      <c r="DW16" s="786"/>
      <c r="DX16" s="786"/>
      <c r="DY16" s="786"/>
      <c r="DZ16" s="786"/>
      <c r="EA16" s="786"/>
      <c r="EB16" s="786" t="s">
        <v>985</v>
      </c>
      <c r="EC16" s="786" t="s">
        <v>813</v>
      </c>
      <c r="ED16" s="786"/>
      <c r="EE16" s="786">
        <v>6000</v>
      </c>
      <c r="EF16" s="786">
        <v>650</v>
      </c>
      <c r="EG16" s="786"/>
      <c r="EH16" s="786"/>
      <c r="EI16" s="786" t="s">
        <v>814</v>
      </c>
      <c r="EJ16" s="786"/>
      <c r="EK16" s="786"/>
      <c r="EL16" s="786"/>
      <c r="EM16" s="786"/>
      <c r="EN16" s="786"/>
      <c r="EO16" s="1317" t="s">
        <v>1070</v>
      </c>
      <c r="EP16" s="1317" t="s">
        <v>1074</v>
      </c>
      <c r="EQ16" s="1317" t="s">
        <v>1082</v>
      </c>
      <c r="ER16" s="1341" t="s">
        <v>1030</v>
      </c>
      <c r="ES16" s="1332"/>
      <c r="ET16" s="1520"/>
      <c r="EU16" s="1520"/>
      <c r="EV16" s="530" t="s">
        <v>1100</v>
      </c>
      <c r="EW16" s="786"/>
      <c r="EX16" s="786"/>
      <c r="EY16" s="786"/>
    </row>
    <row r="17" spans="1:155" ht="14.25" customHeight="1">
      <c r="A17" s="7" t="s">
        <v>520</v>
      </c>
      <c r="B17" s="21" t="s">
        <v>518</v>
      </c>
      <c r="C17" s="22" t="s">
        <v>8</v>
      </c>
      <c r="D17" s="23" t="s">
        <v>25</v>
      </c>
      <c r="E17" s="21" t="s">
        <v>25</v>
      </c>
      <c r="F17" s="21">
        <v>31</v>
      </c>
      <c r="G17" s="6"/>
      <c r="H17" s="24"/>
      <c r="I17" s="25" t="s">
        <v>681</v>
      </c>
      <c r="J17" s="26" t="s">
        <v>1042</v>
      </c>
      <c r="K17" s="26" t="s">
        <v>1048</v>
      </c>
      <c r="L17" s="26" t="s">
        <v>1053</v>
      </c>
      <c r="M17" s="26" t="s">
        <v>680</v>
      </c>
      <c r="N17" s="26" t="s">
        <v>200</v>
      </c>
      <c r="O17" s="60" t="s">
        <v>287</v>
      </c>
      <c r="P17" s="26" t="s">
        <v>635</v>
      </c>
      <c r="Q17" s="26" t="s">
        <v>636</v>
      </c>
      <c r="R17" s="26" t="s">
        <v>637</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1043</v>
      </c>
      <c r="AT17" s="27"/>
      <c r="AU17" s="52" t="s">
        <v>1049</v>
      </c>
      <c r="AV17" s="27"/>
      <c r="AW17" s="52" t="s">
        <v>1054</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494</v>
      </c>
      <c r="BW17" s="168" t="s">
        <v>492</v>
      </c>
      <c r="BX17" s="168" t="s">
        <v>493</v>
      </c>
      <c r="BY17" s="186" t="s">
        <v>697</v>
      </c>
      <c r="BZ17" s="170"/>
      <c r="CA17" s="170"/>
      <c r="CB17" s="170"/>
      <c r="CC17" s="170"/>
      <c r="CD17" s="170"/>
      <c r="CE17" s="170"/>
      <c r="CF17" s="170"/>
      <c r="CG17" s="170"/>
      <c r="CH17" s="170"/>
      <c r="CI17" s="170" t="s">
        <v>651</v>
      </c>
      <c r="CJ17" s="170" t="s">
        <v>513</v>
      </c>
      <c r="CK17" s="168" t="s">
        <v>611</v>
      </c>
      <c r="CL17" s="168" t="s">
        <v>612</v>
      </c>
      <c r="CM17" s="168" t="s">
        <v>613</v>
      </c>
      <c r="CN17" s="315" t="s">
        <v>434</v>
      </c>
      <c r="CO17" s="170">
        <v>2880</v>
      </c>
      <c r="CP17" s="228" t="s">
        <v>393</v>
      </c>
      <c r="CQ17" s="228" t="s">
        <v>682</v>
      </c>
      <c r="CR17" s="228"/>
      <c r="CS17" s="168" t="s">
        <v>503</v>
      </c>
      <c r="CT17" s="169"/>
      <c r="CU17" s="169"/>
      <c r="CV17" s="169" t="s">
        <v>488</v>
      </c>
      <c r="CW17" s="169" t="s">
        <v>439</v>
      </c>
      <c r="CX17" s="169" t="s">
        <v>220</v>
      </c>
      <c r="CY17" s="169"/>
      <c r="CZ17" s="169"/>
      <c r="DA17" s="169"/>
      <c r="DB17" s="160" t="s">
        <v>1044</v>
      </c>
      <c r="DC17" s="160" t="s">
        <v>1045</v>
      </c>
      <c r="DD17" s="169"/>
      <c r="DE17" s="169" t="s">
        <v>690</v>
      </c>
      <c r="DF17" s="169" t="s">
        <v>530</v>
      </c>
      <c r="DG17" s="530"/>
      <c r="DH17" s="168" t="s">
        <v>548</v>
      </c>
      <c r="DI17" s="168" t="s">
        <v>549</v>
      </c>
      <c r="DJ17" s="168" t="s">
        <v>550</v>
      </c>
      <c r="DK17" s="168"/>
      <c r="DL17" s="168"/>
      <c r="DM17" s="168"/>
      <c r="DN17" s="168"/>
      <c r="DO17" s="168"/>
      <c r="DP17" s="168"/>
      <c r="DQ17" s="168"/>
      <c r="DR17" s="168"/>
      <c r="DS17" s="168"/>
      <c r="DT17" s="168"/>
      <c r="DU17" s="168" t="s">
        <v>800</v>
      </c>
      <c r="DV17" s="168"/>
      <c r="DW17" s="168"/>
      <c r="DX17" s="168"/>
      <c r="DY17" s="168"/>
      <c r="DZ17" s="168"/>
      <c r="EA17" s="168"/>
      <c r="EB17" s="168"/>
      <c r="EC17" s="168"/>
      <c r="ED17" s="168"/>
      <c r="EE17" s="168"/>
      <c r="EF17" s="168"/>
      <c r="EG17" s="168"/>
      <c r="EH17" s="168"/>
      <c r="EI17" s="168" t="s">
        <v>814</v>
      </c>
      <c r="EJ17" s="168"/>
      <c r="EK17" s="168"/>
      <c r="EL17" s="168"/>
      <c r="EM17" s="168"/>
      <c r="EN17" s="168"/>
      <c r="EO17" s="1317" t="s">
        <v>1046</v>
      </c>
      <c r="EP17" s="1317" t="s">
        <v>1050</v>
      </c>
      <c r="EQ17" s="1317" t="s">
        <v>1055</v>
      </c>
      <c r="ER17" s="1339">
        <v>1000</v>
      </c>
      <c r="ES17" s="1332"/>
      <c r="ET17" s="1520"/>
      <c r="EU17" s="1520"/>
      <c r="EV17" s="530" t="s">
        <v>1100</v>
      </c>
      <c r="EW17" s="168"/>
      <c r="EX17" s="168"/>
      <c r="EY17" s="168"/>
    </row>
    <row r="18" spans="1:155" ht="14.25" customHeight="1">
      <c r="A18" s="7" t="s">
        <v>188</v>
      </c>
      <c r="B18" s="21" t="s">
        <v>518</v>
      </c>
      <c r="C18" s="22" t="s">
        <v>8</v>
      </c>
      <c r="D18" s="23" t="s">
        <v>114</v>
      </c>
      <c r="E18" s="21" t="s">
        <v>114</v>
      </c>
      <c r="F18" s="21" t="s">
        <v>183</v>
      </c>
      <c r="G18" s="6"/>
      <c r="H18" s="24"/>
      <c r="I18" s="25" t="s">
        <v>189</v>
      </c>
      <c r="J18" s="26" t="s">
        <v>1094</v>
      </c>
      <c r="K18" s="26" t="s">
        <v>191</v>
      </c>
      <c r="L18" s="26" t="s">
        <v>1051</v>
      </c>
      <c r="M18" s="26" t="s">
        <v>679</v>
      </c>
      <c r="N18" s="26" t="s">
        <v>201</v>
      </c>
      <c r="O18" s="26" t="s">
        <v>288</v>
      </c>
      <c r="P18" s="26" t="s">
        <v>629</v>
      </c>
      <c r="Q18" s="26" t="s">
        <v>630</v>
      </c>
      <c r="R18" s="26" t="s">
        <v>631</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702</v>
      </c>
      <c r="AT18" s="529" t="s">
        <v>424</v>
      </c>
      <c r="AU18" s="161" t="s">
        <v>425</v>
      </c>
      <c r="AV18" s="529" t="s">
        <v>426</v>
      </c>
      <c r="AW18" s="161" t="s">
        <v>427</v>
      </c>
      <c r="AX18" s="529" t="s">
        <v>428</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394</v>
      </c>
      <c r="BW18" s="167" t="s">
        <v>401</v>
      </c>
      <c r="BX18" s="167" t="s">
        <v>402</v>
      </c>
      <c r="BY18" s="186" t="s">
        <v>933</v>
      </c>
      <c r="BZ18" s="187" t="s">
        <v>984</v>
      </c>
      <c r="CA18" s="167"/>
      <c r="CB18" s="167"/>
      <c r="CC18" s="167"/>
      <c r="CD18" s="167"/>
      <c r="CE18" s="167"/>
      <c r="CF18" s="167"/>
      <c r="CG18" s="167"/>
      <c r="CH18" s="167"/>
      <c r="CI18" s="167" t="s">
        <v>672</v>
      </c>
      <c r="CJ18" s="167" t="s">
        <v>384</v>
      </c>
      <c r="CK18" s="167" t="s">
        <v>614</v>
      </c>
      <c r="CL18" s="167" t="s">
        <v>615</v>
      </c>
      <c r="CM18" s="167" t="s">
        <v>615</v>
      </c>
      <c r="CN18" s="167">
        <v>1175</v>
      </c>
      <c r="CO18" s="167">
        <v>1800</v>
      </c>
      <c r="CP18" s="315" t="s">
        <v>537</v>
      </c>
      <c r="CQ18" s="167" t="s">
        <v>983</v>
      </c>
      <c r="CR18" s="167"/>
      <c r="CS18" s="167" t="s">
        <v>819</v>
      </c>
      <c r="CT18" s="169"/>
      <c r="CU18" s="169"/>
      <c r="CV18" s="169" t="s">
        <v>405</v>
      </c>
      <c r="CW18" s="169" t="s">
        <v>444</v>
      </c>
      <c r="CX18" s="169" t="s">
        <v>447</v>
      </c>
      <c r="CY18" s="169"/>
      <c r="CZ18" s="169"/>
      <c r="DA18" s="169"/>
      <c r="DB18" s="355" t="s">
        <v>1038</v>
      </c>
      <c r="DC18" s="361"/>
      <c r="DD18" s="169"/>
      <c r="DE18" s="362" t="s">
        <v>689</v>
      </c>
      <c r="DF18" s="362" t="s">
        <v>190</v>
      </c>
      <c r="DG18" s="530"/>
      <c r="DH18" s="167" t="s">
        <v>556</v>
      </c>
      <c r="DI18" s="167" t="s">
        <v>554</v>
      </c>
      <c r="DJ18" s="167" t="s">
        <v>555</v>
      </c>
      <c r="DK18" s="167"/>
      <c r="DL18" s="167"/>
      <c r="DM18" s="168"/>
      <c r="DN18" s="168"/>
      <c r="DO18" s="168"/>
      <c r="DP18" s="168"/>
      <c r="DQ18" s="168"/>
      <c r="DR18" s="168"/>
      <c r="DS18" s="168"/>
      <c r="DT18" s="168"/>
      <c r="DU18" s="168" t="s">
        <v>801</v>
      </c>
      <c r="DV18" s="168"/>
      <c r="DW18" s="168"/>
      <c r="DX18" s="168"/>
      <c r="DY18" s="168"/>
      <c r="DZ18" s="168"/>
      <c r="EA18" s="168"/>
      <c r="EB18" s="168" t="s">
        <v>812</v>
      </c>
      <c r="EC18" s="168" t="s">
        <v>815</v>
      </c>
      <c r="ED18" s="168"/>
      <c r="EE18" s="168">
        <v>1200</v>
      </c>
      <c r="EF18" s="168">
        <v>600</v>
      </c>
      <c r="EG18" s="168"/>
      <c r="EH18" s="168"/>
      <c r="EI18" s="168" t="s">
        <v>817</v>
      </c>
      <c r="EJ18" s="168"/>
      <c r="EK18" s="168"/>
      <c r="EL18" s="168"/>
      <c r="EM18" s="168"/>
      <c r="EN18" s="168"/>
      <c r="EO18" s="355" t="s">
        <v>1038</v>
      </c>
      <c r="EP18" s="355" t="s">
        <v>191</v>
      </c>
      <c r="EQ18" s="355" t="s">
        <v>1051</v>
      </c>
      <c r="ER18" s="1338">
        <v>1600</v>
      </c>
      <c r="ES18" s="380"/>
      <c r="ET18" s="1520"/>
      <c r="EU18" s="1520"/>
      <c r="EV18" s="530" t="s">
        <v>1103</v>
      </c>
      <c r="EW18" s="168"/>
      <c r="EX18" s="168"/>
      <c r="EY18" s="168"/>
    </row>
    <row r="19" spans="1:155" ht="14.25" customHeight="1">
      <c r="A19" s="7" t="s">
        <v>522</v>
      </c>
      <c r="B19" s="21" t="s">
        <v>518</v>
      </c>
      <c r="C19" s="22" t="s">
        <v>8</v>
      </c>
      <c r="D19" s="23" t="s">
        <v>28</v>
      </c>
      <c r="E19" s="21" t="s">
        <v>28</v>
      </c>
      <c r="F19" s="21">
        <v>26</v>
      </c>
      <c r="G19" s="6"/>
      <c r="H19" s="24"/>
      <c r="I19" s="25" t="s">
        <v>67</v>
      </c>
      <c r="J19" s="26" t="s">
        <v>457</v>
      </c>
      <c r="K19" s="26" t="s">
        <v>1083</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396</v>
      </c>
      <c r="BW19" s="170"/>
      <c r="BX19" s="170"/>
      <c r="BY19" s="170" t="s">
        <v>683</v>
      </c>
      <c r="BZ19" s="170"/>
      <c r="CA19" s="170"/>
      <c r="CB19" s="170"/>
      <c r="CC19" s="170"/>
      <c r="CD19" s="170"/>
      <c r="CE19" s="170"/>
      <c r="CF19" s="170"/>
      <c r="CG19" s="170"/>
      <c r="CH19" s="170"/>
      <c r="CI19" s="170" t="s">
        <v>668</v>
      </c>
      <c r="CJ19" s="170" t="s">
        <v>380</v>
      </c>
      <c r="CK19" s="170" t="s">
        <v>616</v>
      </c>
      <c r="CL19" s="170" t="s">
        <v>617</v>
      </c>
      <c r="CM19" s="170" t="s">
        <v>618</v>
      </c>
      <c r="CN19" s="170">
        <v>1262</v>
      </c>
      <c r="CO19" s="170">
        <v>700</v>
      </c>
      <c r="CP19" s="170">
        <v>1262</v>
      </c>
      <c r="CQ19" s="170" t="s">
        <v>986</v>
      </c>
      <c r="CR19" s="170"/>
      <c r="CS19" s="170"/>
      <c r="CT19" s="169"/>
      <c r="CU19" s="169"/>
      <c r="CV19" s="169" t="s">
        <v>407</v>
      </c>
      <c r="CW19" s="169" t="s">
        <v>440</v>
      </c>
      <c r="CX19" s="169" t="s">
        <v>451</v>
      </c>
      <c r="CY19" s="169" t="s">
        <v>578</v>
      </c>
      <c r="CZ19" s="169" t="s">
        <v>579</v>
      </c>
      <c r="DA19" s="169" t="s">
        <v>580</v>
      </c>
      <c r="DB19" s="160" t="s">
        <v>60</v>
      </c>
      <c r="DC19" s="356"/>
      <c r="DD19" s="169"/>
      <c r="DE19" s="362" t="s">
        <v>315</v>
      </c>
      <c r="DF19" s="362" t="s">
        <v>820</v>
      </c>
      <c r="DG19" s="530" t="s">
        <v>589</v>
      </c>
      <c r="DH19" s="170" t="s">
        <v>560</v>
      </c>
      <c r="DI19" s="170" t="s">
        <v>561</v>
      </c>
      <c r="DJ19" s="170" t="s">
        <v>562</v>
      </c>
      <c r="DK19" s="170"/>
      <c r="DL19" s="170"/>
      <c r="DM19" s="168"/>
      <c r="DN19" s="168"/>
      <c r="DO19" s="168"/>
      <c r="DP19" s="168"/>
      <c r="DQ19" s="168"/>
      <c r="DR19" s="168"/>
      <c r="DS19" s="168"/>
      <c r="DT19" s="168"/>
      <c r="DU19" s="168" t="s">
        <v>802</v>
      </c>
      <c r="DV19" s="168"/>
      <c r="DW19" s="168"/>
      <c r="DX19" s="168"/>
      <c r="DY19" s="168"/>
      <c r="DZ19" s="168"/>
      <c r="EA19" s="168"/>
      <c r="EB19" s="168"/>
      <c r="EC19" s="168"/>
      <c r="ED19" s="168"/>
      <c r="EE19" s="168"/>
      <c r="EF19" s="168"/>
      <c r="EG19" s="168"/>
      <c r="EH19" s="168"/>
      <c r="EI19" s="168"/>
      <c r="EJ19" s="168"/>
      <c r="EK19" s="168"/>
      <c r="EL19" s="168"/>
      <c r="EM19" s="168"/>
      <c r="EN19" s="168"/>
      <c r="EO19" s="1317" t="s">
        <v>1010</v>
      </c>
      <c r="EP19" s="1317" t="s">
        <v>1011</v>
      </c>
      <c r="EQ19" s="1317" t="s">
        <v>1012</v>
      </c>
      <c r="ER19" s="1339">
        <v>875</v>
      </c>
      <c r="ES19" s="1332"/>
      <c r="ET19" s="1520"/>
      <c r="EU19" s="1520"/>
      <c r="EV19" s="530" t="s">
        <v>1105</v>
      </c>
      <c r="EW19" s="168"/>
      <c r="EX19" s="168"/>
      <c r="EY19" s="168" t="s">
        <v>1160</v>
      </c>
    </row>
    <row r="20" spans="1:155" ht="14.25" customHeight="1">
      <c r="A20" s="7" t="s">
        <v>523</v>
      </c>
      <c r="B20" s="21" t="s">
        <v>518</v>
      </c>
      <c r="C20" s="22" t="s">
        <v>8</v>
      </c>
      <c r="D20" s="23" t="s">
        <v>29</v>
      </c>
      <c r="E20" s="21" t="s">
        <v>29</v>
      </c>
      <c r="F20" s="21">
        <v>25</v>
      </c>
      <c r="G20" s="6"/>
      <c r="H20" s="24"/>
      <c r="I20" s="25" t="s">
        <v>68</v>
      </c>
      <c r="J20" s="26" t="s">
        <v>69</v>
      </c>
      <c r="K20" s="26" t="s">
        <v>117</v>
      </c>
      <c r="L20" s="26" t="s">
        <v>70</v>
      </c>
      <c r="M20" s="26" t="s">
        <v>121</v>
      </c>
      <c r="N20" s="26" t="s">
        <v>626</v>
      </c>
      <c r="O20" s="26" t="s">
        <v>627</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544</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463</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463</v>
      </c>
      <c r="CS20" s="170"/>
      <c r="CT20" s="169"/>
      <c r="CU20" s="169"/>
      <c r="CV20" s="169"/>
      <c r="CW20" s="169" t="s">
        <v>441</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803</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1106</v>
      </c>
      <c r="EW20" s="168"/>
      <c r="EX20" s="168"/>
      <c r="EY20" s="168"/>
    </row>
    <row r="21" spans="1:155" s="788" customFormat="1" ht="14.25" customHeight="1">
      <c r="A21" s="747" t="s">
        <v>524</v>
      </c>
      <c r="B21" s="770" t="s">
        <v>518</v>
      </c>
      <c r="C21" s="771" t="s">
        <v>8</v>
      </c>
      <c r="D21" s="772" t="s">
        <v>30</v>
      </c>
      <c r="E21" s="770" t="s">
        <v>30</v>
      </c>
      <c r="F21" s="770">
        <v>22</v>
      </c>
      <c r="G21" s="773"/>
      <c r="H21" s="789" t="s">
        <v>53</v>
      </c>
      <c r="I21" s="351" t="s">
        <v>942</v>
      </c>
      <c r="J21" s="350" t="s">
        <v>943</v>
      </c>
      <c r="K21" s="350" t="s">
        <v>944</v>
      </c>
      <c r="L21" s="350" t="s">
        <v>945</v>
      </c>
      <c r="M21" s="350" t="s">
        <v>946</v>
      </c>
      <c r="N21" s="350" t="s">
        <v>947</v>
      </c>
      <c r="O21" s="350" t="s">
        <v>948</v>
      </c>
      <c r="P21" s="350" t="s">
        <v>949</v>
      </c>
      <c r="Q21" s="350" t="s">
        <v>950</v>
      </c>
      <c r="R21" s="350" t="s">
        <v>951</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954</v>
      </c>
      <c r="AT21" s="778"/>
      <c r="AU21" s="777" t="s">
        <v>952</v>
      </c>
      <c r="AV21" s="778"/>
      <c r="AW21" s="777" t="s">
        <v>953</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955</v>
      </c>
      <c r="BW21" s="790" t="s">
        <v>399</v>
      </c>
      <c r="BX21" s="790" t="s">
        <v>400</v>
      </c>
      <c r="BY21" s="1538" t="s">
        <v>982</v>
      </c>
      <c r="BZ21" s="1538"/>
      <c r="CA21" s="790"/>
      <c r="CB21" s="790"/>
      <c r="CC21" s="790"/>
      <c r="CD21" s="790"/>
      <c r="CE21" s="790"/>
      <c r="CF21" s="790"/>
      <c r="CG21" s="790"/>
      <c r="CH21" s="790"/>
      <c r="CI21" s="790" t="s">
        <v>956</v>
      </c>
      <c r="CJ21" s="790" t="s">
        <v>957</v>
      </c>
      <c r="CK21" s="790" t="s">
        <v>958</v>
      </c>
      <c r="CL21" s="790" t="s">
        <v>959</v>
      </c>
      <c r="CM21" s="790" t="s">
        <v>960</v>
      </c>
      <c r="CN21" s="1538" t="s">
        <v>415</v>
      </c>
      <c r="CO21" s="790">
        <v>450</v>
      </c>
      <c r="CP21" s="1538" t="s">
        <v>415</v>
      </c>
      <c r="CQ21" s="1538" t="s">
        <v>684</v>
      </c>
      <c r="CR21" s="1538"/>
      <c r="CS21" s="790"/>
      <c r="CT21" s="530"/>
      <c r="CU21" s="530"/>
      <c r="CV21" s="530" t="s">
        <v>409</v>
      </c>
      <c r="CW21" s="530" t="s">
        <v>442</v>
      </c>
      <c r="CX21" s="530" t="s">
        <v>450</v>
      </c>
      <c r="CY21" s="530"/>
      <c r="CZ21" s="530"/>
      <c r="DA21" s="530"/>
      <c r="DB21" s="363" t="s">
        <v>954</v>
      </c>
      <c r="DC21" s="363" t="s">
        <v>211</v>
      </c>
      <c r="DD21" s="530"/>
      <c r="DE21" s="364" t="s">
        <v>961</v>
      </c>
      <c r="DF21" s="364" t="s">
        <v>981</v>
      </c>
      <c r="DG21" s="530"/>
      <c r="DH21" s="790" t="s">
        <v>563</v>
      </c>
      <c r="DI21" s="790" t="s">
        <v>564</v>
      </c>
      <c r="DJ21" s="790" t="s">
        <v>565</v>
      </c>
      <c r="DK21" s="790"/>
      <c r="DL21" s="790"/>
      <c r="DM21" s="786"/>
      <c r="DN21" s="786"/>
      <c r="DO21" s="786"/>
      <c r="DP21" s="786"/>
      <c r="DQ21" s="786"/>
      <c r="DR21" s="786"/>
      <c r="DS21" s="786"/>
      <c r="DT21" s="786"/>
      <c r="DU21" s="786" t="s">
        <v>804</v>
      </c>
      <c r="DV21" s="786"/>
      <c r="DW21" s="786"/>
      <c r="DX21" s="786"/>
      <c r="DY21" s="786"/>
      <c r="DZ21" s="786"/>
      <c r="EA21" s="786"/>
      <c r="EB21" s="786"/>
      <c r="EC21" s="786"/>
      <c r="ED21" s="786" t="s">
        <v>71</v>
      </c>
      <c r="EE21" s="787"/>
      <c r="EF21" s="786">
        <v>600</v>
      </c>
      <c r="EG21" s="786">
        <v>400</v>
      </c>
      <c r="EH21" s="786">
        <v>450</v>
      </c>
      <c r="EI21" s="786"/>
      <c r="EJ21" s="786" t="s">
        <v>818</v>
      </c>
      <c r="EK21" s="786"/>
      <c r="EL21" s="786"/>
      <c r="EM21" s="786"/>
      <c r="EN21" s="786"/>
      <c r="EO21" s="840" t="s">
        <v>1022</v>
      </c>
      <c r="EP21" s="840" t="s">
        <v>1023</v>
      </c>
      <c r="EQ21" s="840" t="s">
        <v>1024</v>
      </c>
      <c r="ER21" s="1539" t="s">
        <v>1005</v>
      </c>
      <c r="ES21" s="1335"/>
      <c r="ET21" s="1528"/>
      <c r="EU21" s="1528"/>
      <c r="EV21" s="530" t="s">
        <v>1107</v>
      </c>
      <c r="EW21" s="786"/>
      <c r="EX21" s="786"/>
      <c r="EY21" s="786"/>
    </row>
    <row r="22" spans="1:155" s="788" customFormat="1" ht="14.25" customHeight="1">
      <c r="A22" s="747" t="s">
        <v>525</v>
      </c>
      <c r="B22" s="770" t="s">
        <v>518</v>
      </c>
      <c r="C22" s="771" t="s">
        <v>8</v>
      </c>
      <c r="D22" s="772" t="s">
        <v>30</v>
      </c>
      <c r="E22" s="770">
        <v>10</v>
      </c>
      <c r="F22" s="770">
        <v>22</v>
      </c>
      <c r="G22" s="773"/>
      <c r="H22" s="789" t="s">
        <v>53</v>
      </c>
      <c r="I22" s="350" t="s">
        <v>121</v>
      </c>
      <c r="J22" s="350" t="s">
        <v>121</v>
      </c>
      <c r="K22" s="350" t="s">
        <v>121</v>
      </c>
      <c r="L22" s="350" t="s">
        <v>121</v>
      </c>
      <c r="M22" s="350" t="s">
        <v>121</v>
      </c>
      <c r="N22" s="1540" t="s">
        <v>628</v>
      </c>
      <c r="O22" s="350" t="s">
        <v>300</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403</v>
      </c>
      <c r="BZ22" s="790"/>
      <c r="CA22" s="790"/>
      <c r="CB22" s="790"/>
      <c r="CC22" s="790"/>
      <c r="CD22" s="790"/>
      <c r="CE22" s="790"/>
      <c r="CF22" s="790"/>
      <c r="CG22" s="790"/>
      <c r="CH22" s="790"/>
      <c r="CI22" s="790"/>
      <c r="CJ22" s="790"/>
      <c r="CK22" s="790"/>
      <c r="CL22" s="790"/>
      <c r="CM22" s="790"/>
      <c r="CN22" s="790">
        <v>1292</v>
      </c>
      <c r="CO22" s="790">
        <v>2655</v>
      </c>
      <c r="CP22" s="790">
        <v>1292</v>
      </c>
      <c r="CQ22" s="790" t="s">
        <v>880</v>
      </c>
      <c r="CR22" s="790"/>
      <c r="CS22" s="790"/>
      <c r="CT22" s="530"/>
      <c r="CU22" s="530"/>
      <c r="CV22" s="530"/>
      <c r="CW22" s="530"/>
      <c r="CX22" s="530"/>
      <c r="CY22" s="530"/>
      <c r="CZ22" s="530"/>
      <c r="DA22" s="530"/>
      <c r="DB22" s="363" t="s">
        <v>212</v>
      </c>
      <c r="DC22" s="791"/>
      <c r="DD22" s="530"/>
      <c r="DE22" s="364" t="s">
        <v>316</v>
      </c>
      <c r="DF22" s="364" t="s">
        <v>316</v>
      </c>
      <c r="DG22" s="530"/>
      <c r="DH22" s="790"/>
      <c r="DI22" s="790"/>
      <c r="DJ22" s="790"/>
      <c r="DK22" s="790"/>
      <c r="DL22" s="790"/>
      <c r="DM22" s="786"/>
      <c r="DN22" s="786"/>
      <c r="DO22" s="786"/>
      <c r="DP22" s="786"/>
      <c r="DQ22" s="786"/>
      <c r="DR22" s="786"/>
      <c r="DS22" s="786"/>
      <c r="DT22" s="786"/>
      <c r="DU22" s="786" t="s">
        <v>804</v>
      </c>
      <c r="DV22" s="786"/>
      <c r="DW22" s="786"/>
      <c r="DX22" s="786"/>
      <c r="DY22" s="786"/>
      <c r="DZ22" s="786"/>
      <c r="EA22" s="786"/>
      <c r="EB22" s="786"/>
      <c r="EC22" s="786"/>
      <c r="ED22" s="786"/>
      <c r="EE22" s="786"/>
      <c r="EF22" s="786"/>
      <c r="EG22" s="786"/>
      <c r="EH22" s="786"/>
      <c r="EI22" s="786"/>
      <c r="EJ22" s="1541" t="s">
        <v>887</v>
      </c>
      <c r="EK22" s="786"/>
      <c r="EL22" s="786"/>
      <c r="EM22" s="786"/>
      <c r="EN22" s="786"/>
      <c r="EO22" s="363" t="s">
        <v>1013</v>
      </c>
      <c r="EP22" s="363" t="s">
        <v>1014</v>
      </c>
      <c r="EQ22" s="363" t="s">
        <v>1015</v>
      </c>
      <c r="ER22" s="1379">
        <v>2400</v>
      </c>
      <c r="ES22" s="1335"/>
      <c r="ET22" s="1528"/>
      <c r="EU22" s="1528"/>
      <c r="EV22" s="530"/>
      <c r="EW22" s="168" t="s">
        <v>1114</v>
      </c>
      <c r="EX22" s="168"/>
      <c r="EY22" s="168"/>
    </row>
    <row r="23" spans="1:155" ht="14.25" customHeight="1" thickBot="1">
      <c r="A23" s="77" t="s">
        <v>5</v>
      </c>
      <c r="B23" s="78" t="s">
        <v>518</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518</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25" t="s">
        <v>79</v>
      </c>
      <c r="J25" s="26" t="s">
        <v>206</v>
      </c>
      <c r="K25" s="26" t="s">
        <v>309</v>
      </c>
      <c r="L25" s="26" t="s">
        <v>81</v>
      </c>
      <c r="M25" s="26" t="s">
        <v>83</v>
      </c>
      <c r="N25" s="26" t="s">
        <v>703</v>
      </c>
      <c r="O25" s="26" t="s">
        <v>295</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398</v>
      </c>
      <c r="BW25" s="170" t="s">
        <v>604</v>
      </c>
      <c r="BX25" s="170" t="s">
        <v>460</v>
      </c>
      <c r="BY25" s="170" t="s">
        <v>695</v>
      </c>
      <c r="BZ25" s="170"/>
      <c r="CA25" s="170"/>
      <c r="CB25" s="170"/>
      <c r="CC25" s="170"/>
      <c r="CD25" s="170"/>
      <c r="CE25" s="170"/>
      <c r="CF25" s="170"/>
      <c r="CG25" s="170"/>
      <c r="CH25" s="170"/>
      <c r="CI25" s="170" t="s">
        <v>670</v>
      </c>
      <c r="CJ25" s="170" t="s">
        <v>383</v>
      </c>
      <c r="CK25" s="170" t="s">
        <v>619</v>
      </c>
      <c r="CL25" s="170" t="s">
        <v>620</v>
      </c>
      <c r="CM25" s="170" t="s">
        <v>621</v>
      </c>
      <c r="CN25" s="170">
        <v>1262</v>
      </c>
      <c r="CO25" s="170">
        <v>600</v>
      </c>
      <c r="CP25" s="170">
        <v>1262</v>
      </c>
      <c r="CQ25" s="170" t="s">
        <v>696</v>
      </c>
      <c r="CR25" s="170"/>
      <c r="CS25" s="170"/>
      <c r="CT25" s="169"/>
      <c r="CU25" s="169"/>
      <c r="CV25" s="169" t="s">
        <v>410</v>
      </c>
      <c r="CW25" s="169" t="s">
        <v>443</v>
      </c>
      <c r="CX25" s="169" t="s">
        <v>449</v>
      </c>
      <c r="CY25" s="169" t="s">
        <v>581</v>
      </c>
      <c r="CZ25" s="169" t="s">
        <v>582</v>
      </c>
      <c r="DA25" s="169" t="s">
        <v>583</v>
      </c>
      <c r="DB25" s="160" t="s">
        <v>80</v>
      </c>
      <c r="DC25" s="356"/>
      <c r="DD25" s="169"/>
      <c r="DE25" s="364" t="s">
        <v>317</v>
      </c>
      <c r="DF25" s="350" t="s">
        <v>704</v>
      </c>
      <c r="DG25" s="530" t="s">
        <v>590</v>
      </c>
      <c r="DH25" s="170" t="s">
        <v>566</v>
      </c>
      <c r="DI25" s="170" t="s">
        <v>567</v>
      </c>
      <c r="DJ25" s="170" t="s">
        <v>568</v>
      </c>
      <c r="DK25" s="170"/>
      <c r="DL25" s="170"/>
      <c r="DM25" s="170" t="s">
        <v>735</v>
      </c>
      <c r="DN25" s="170" t="s">
        <v>736</v>
      </c>
      <c r="DO25" s="170" t="s">
        <v>737</v>
      </c>
      <c r="DP25" s="170"/>
      <c r="DQ25" s="170" t="s">
        <v>738</v>
      </c>
      <c r="DR25" s="170" t="s">
        <v>739</v>
      </c>
      <c r="DS25" s="170"/>
      <c r="DT25" s="170" t="s">
        <v>740</v>
      </c>
      <c r="DU25" s="170" t="s">
        <v>741</v>
      </c>
      <c r="DV25" s="170" t="s">
        <v>742</v>
      </c>
      <c r="DW25" s="170" t="s">
        <v>743</v>
      </c>
      <c r="DX25" s="170" t="s">
        <v>744</v>
      </c>
      <c r="DY25" s="170" t="s">
        <v>745</v>
      </c>
      <c r="DZ25" s="170" t="s">
        <v>746</v>
      </c>
      <c r="EA25" s="170" t="s">
        <v>747</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1108</v>
      </c>
      <c r="EW25" s="170"/>
      <c r="EX25" s="170"/>
      <c r="EY25" s="170"/>
    </row>
    <row r="26" spans="1:155" ht="14.25" customHeight="1" thickBot="1">
      <c r="A26" s="77" t="s">
        <v>5</v>
      </c>
      <c r="B26" s="78" t="s">
        <v>518</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518</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518</v>
      </c>
      <c r="C28" s="22" t="s">
        <v>8</v>
      </c>
      <c r="D28" s="23" t="s">
        <v>31</v>
      </c>
      <c r="E28" s="21" t="s">
        <v>31</v>
      </c>
      <c r="F28" s="21">
        <v>24</v>
      </c>
      <c r="G28" s="6"/>
      <c r="H28" s="30" t="s">
        <v>54</v>
      </c>
      <c r="I28" s="25" t="s">
        <v>963</v>
      </c>
      <c r="J28" s="26" t="s">
        <v>964</v>
      </c>
      <c r="K28" s="26" t="s">
        <v>965</v>
      </c>
      <c r="L28" s="26" t="s">
        <v>966</v>
      </c>
      <c r="M28" s="26" t="s">
        <v>967</v>
      </c>
      <c r="N28" s="26" t="s">
        <v>976</v>
      </c>
      <c r="O28" s="26" t="s">
        <v>968</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977</v>
      </c>
      <c r="AT28" s="27"/>
      <c r="AU28" s="52" t="s">
        <v>978</v>
      </c>
      <c r="AV28" s="27"/>
      <c r="AW28" s="52" t="s">
        <v>979</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969</v>
      </c>
      <c r="BW28" s="170" t="s">
        <v>962</v>
      </c>
      <c r="BX28" s="170" t="s">
        <v>970</v>
      </c>
      <c r="BY28" s="186" t="s">
        <v>1125</v>
      </c>
      <c r="BZ28" s="186"/>
      <c r="CA28" s="170" t="s">
        <v>370</v>
      </c>
      <c r="CB28" s="170" t="s">
        <v>371</v>
      </c>
      <c r="CC28" s="170" t="s">
        <v>372</v>
      </c>
      <c r="CD28" s="170" t="s">
        <v>373</v>
      </c>
      <c r="CE28" s="170"/>
      <c r="CF28" s="170"/>
      <c r="CG28" s="170"/>
      <c r="CH28" s="170"/>
      <c r="CI28" s="170" t="s">
        <v>971</v>
      </c>
      <c r="CJ28" s="170" t="s">
        <v>972</v>
      </c>
      <c r="CK28" s="170" t="s">
        <v>622</v>
      </c>
      <c r="CL28" s="170" t="s">
        <v>623</v>
      </c>
      <c r="CM28" s="170" t="s">
        <v>624</v>
      </c>
      <c r="CN28" s="186" t="s">
        <v>414</v>
      </c>
      <c r="CO28" s="170">
        <v>850</v>
      </c>
      <c r="CP28" s="186" t="s">
        <v>414</v>
      </c>
      <c r="CQ28" s="170" t="s">
        <v>701</v>
      </c>
      <c r="CR28" s="170"/>
      <c r="CS28" s="170"/>
      <c r="CT28" s="169"/>
      <c r="CU28" s="169"/>
      <c r="CV28" s="169" t="s">
        <v>586</v>
      </c>
      <c r="CW28" s="169" t="s">
        <v>973</v>
      </c>
      <c r="CX28" s="169" t="s">
        <v>452</v>
      </c>
      <c r="CY28" s="169"/>
      <c r="CZ28" s="169"/>
      <c r="DA28" s="169"/>
      <c r="DB28" s="160" t="s">
        <v>977</v>
      </c>
      <c r="DC28" s="356"/>
      <c r="DD28" s="169"/>
      <c r="DE28" s="364" t="s">
        <v>974</v>
      </c>
      <c r="DF28" s="350" t="s">
        <v>980</v>
      </c>
      <c r="DG28" s="169"/>
      <c r="DH28" s="170" t="s">
        <v>569</v>
      </c>
      <c r="DI28" s="170" t="s">
        <v>570</v>
      </c>
      <c r="DJ28" s="170" t="s">
        <v>571</v>
      </c>
      <c r="DK28" s="170"/>
      <c r="DL28" s="170"/>
      <c r="DM28" s="654" t="s">
        <v>778</v>
      </c>
      <c r="DN28" s="170"/>
      <c r="DO28" s="170"/>
      <c r="DP28" s="170"/>
      <c r="DQ28" s="170"/>
      <c r="DR28" s="170"/>
      <c r="DS28" s="170"/>
      <c r="DT28" s="170"/>
      <c r="DU28" s="170" t="s">
        <v>777</v>
      </c>
      <c r="DV28" s="170"/>
      <c r="DW28" s="170"/>
      <c r="DX28" s="170"/>
      <c r="DY28" s="170"/>
      <c r="DZ28" s="170"/>
      <c r="EA28" s="170"/>
      <c r="EB28" s="170"/>
      <c r="EC28" s="170"/>
      <c r="ED28" s="170" t="s">
        <v>975</v>
      </c>
      <c r="EE28" s="170"/>
      <c r="EF28" s="170"/>
      <c r="EG28" s="170"/>
      <c r="EH28" s="170"/>
      <c r="EI28" s="170"/>
      <c r="EJ28" s="170"/>
      <c r="EK28" s="170"/>
      <c r="EL28" s="170"/>
      <c r="EM28" s="170"/>
      <c r="EN28" s="170"/>
      <c r="EO28" s="1319" t="s">
        <v>1001</v>
      </c>
      <c r="EP28" s="1319" t="s">
        <v>1002</v>
      </c>
      <c r="EQ28" s="1319" t="s">
        <v>1003</v>
      </c>
      <c r="ER28" s="1340" t="s">
        <v>1004</v>
      </c>
      <c r="ES28" s="1336"/>
      <c r="ET28" s="1520"/>
      <c r="EU28" s="1520"/>
      <c r="EV28" s="530" t="s">
        <v>1109</v>
      </c>
      <c r="EW28" s="170"/>
      <c r="EX28" s="170"/>
      <c r="EY28" s="170"/>
    </row>
    <row r="29" spans="1:155" ht="13.9" customHeight="1">
      <c r="A29" s="7" t="s">
        <v>4</v>
      </c>
      <c r="B29" s="21" t="s">
        <v>518</v>
      </c>
      <c r="C29" s="22" t="s">
        <v>8</v>
      </c>
      <c r="D29" s="23" t="s">
        <v>31</v>
      </c>
      <c r="E29" s="21" t="s">
        <v>32</v>
      </c>
      <c r="F29" s="21">
        <v>24</v>
      </c>
      <c r="G29" s="6"/>
      <c r="H29" s="30" t="s">
        <v>54</v>
      </c>
      <c r="I29" s="26" t="s">
        <v>121</v>
      </c>
      <c r="J29" s="26" t="s">
        <v>121</v>
      </c>
      <c r="K29" s="26" t="s">
        <v>121</v>
      </c>
      <c r="L29" s="26" t="s">
        <v>121</v>
      </c>
      <c r="M29" s="26" t="s">
        <v>121</v>
      </c>
      <c r="N29" s="26" t="s">
        <v>700</v>
      </c>
      <c r="O29" s="26" t="s">
        <v>301</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328</v>
      </c>
      <c r="BX29" s="170" t="s">
        <v>329</v>
      </c>
      <c r="BY29" s="186" t="s">
        <v>808</v>
      </c>
      <c r="BZ29" s="170"/>
      <c r="CA29" s="170"/>
      <c r="CB29" s="170"/>
      <c r="CC29" s="170"/>
      <c r="CD29" s="170"/>
      <c r="CE29" s="170"/>
      <c r="CF29" s="170"/>
      <c r="CG29" s="170"/>
      <c r="CH29" s="170"/>
      <c r="CI29" s="170"/>
      <c r="CJ29" s="170"/>
      <c r="CK29" s="170"/>
      <c r="CL29" s="170"/>
      <c r="CM29" s="170"/>
      <c r="CN29" s="170">
        <v>1292</v>
      </c>
      <c r="CO29" s="170">
        <v>850</v>
      </c>
      <c r="CP29" s="170">
        <v>1292</v>
      </c>
      <c r="CQ29" s="170" t="s">
        <v>809</v>
      </c>
      <c r="CR29" s="170"/>
      <c r="CS29" s="170"/>
      <c r="CT29" s="169"/>
      <c r="CU29" s="169"/>
      <c r="CV29" s="169"/>
      <c r="CW29" s="169"/>
      <c r="CX29" s="169"/>
      <c r="CY29" s="169"/>
      <c r="CZ29" s="169"/>
      <c r="DA29" s="169"/>
      <c r="DB29" s="160" t="s">
        <v>34</v>
      </c>
      <c r="DC29" s="356"/>
      <c r="DD29" s="169"/>
      <c r="DE29" s="364" t="s">
        <v>318</v>
      </c>
      <c r="DF29" s="350"/>
      <c r="DG29" s="169"/>
      <c r="DH29" s="170"/>
      <c r="DI29" s="170"/>
      <c r="DJ29" s="170"/>
      <c r="DK29" s="170"/>
      <c r="DL29" s="170"/>
      <c r="DM29" s="170"/>
      <c r="DN29" s="170"/>
      <c r="DO29" s="170"/>
      <c r="DP29" s="170"/>
      <c r="DQ29" s="170"/>
      <c r="DR29" s="170"/>
      <c r="DS29" s="170"/>
      <c r="DT29" s="170"/>
      <c r="DU29" s="170" t="s">
        <v>777</v>
      </c>
      <c r="DV29" s="170"/>
      <c r="DW29" s="170"/>
      <c r="DX29" s="170"/>
      <c r="DY29" s="170"/>
      <c r="DZ29" s="170"/>
      <c r="EA29" s="170"/>
      <c r="EB29" s="170"/>
      <c r="EC29" s="170"/>
      <c r="ED29" s="170"/>
      <c r="EE29" s="170"/>
      <c r="EF29" s="170"/>
      <c r="EG29" s="170"/>
      <c r="EH29" s="170"/>
      <c r="EI29" s="170"/>
      <c r="EJ29" s="170"/>
      <c r="EK29" s="170"/>
      <c r="EL29" s="170"/>
      <c r="EM29" s="170"/>
      <c r="EN29" s="170"/>
      <c r="EO29" s="1317" t="s">
        <v>1025</v>
      </c>
      <c r="EP29" s="1317" t="s">
        <v>1026</v>
      </c>
      <c r="EQ29" s="1317" t="s">
        <v>1027</v>
      </c>
      <c r="ER29" s="1339">
        <v>3500</v>
      </c>
      <c r="ES29" s="1332"/>
      <c r="ET29" s="1520"/>
      <c r="EU29" s="1520"/>
      <c r="EV29" s="169"/>
      <c r="EW29" s="170"/>
      <c r="EX29" s="170"/>
      <c r="EY29" s="170"/>
    </row>
    <row r="30" spans="1:155" ht="14.25" customHeight="1" thickBot="1">
      <c r="A30" s="77" t="s">
        <v>5</v>
      </c>
      <c r="B30" s="78" t="s">
        <v>518</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syi3GJTk26vZLE/W0gmAGfkTW5jpTvut43IHhjePO0E8+0l1gYv0KaPaBN1F97MdBLP0wcUYQ1WxlpOJ5Fgrw==" saltValue="rtK7VmM2tu50+797h8jf8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CEUTA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464</v>
      </c>
      <c r="B5" s="297"/>
      <c r="C5" s="1891" t="str">
        <f>"Año:  " &amp;Criterios!B$5 &amp; "          Trimestre   " &amp;Criterios!D$5 &amp; " al " &amp;Criterios!D$6</f>
        <v>Año:  2022          Trimestre   3 al 3</v>
      </c>
      <c r="D5" s="1882" t="s">
        <v>490</v>
      </c>
      <c r="E5" s="1882" t="s">
        <v>748</v>
      </c>
      <c r="F5" s="1893" t="s">
        <v>526</v>
      </c>
      <c r="G5" s="1882" t="s">
        <v>173</v>
      </c>
      <c r="H5" s="1882" t="s">
        <v>781</v>
      </c>
      <c r="I5" s="1882" t="s">
        <v>749</v>
      </c>
      <c r="J5" s="1882" t="s">
        <v>866</v>
      </c>
      <c r="K5" s="1882" t="s">
        <v>867</v>
      </c>
      <c r="L5" s="1882" t="s">
        <v>750</v>
      </c>
      <c r="M5" s="1882" t="s">
        <v>705</v>
      </c>
      <c r="N5" s="1882" t="s">
        <v>868</v>
      </c>
      <c r="O5" s="1885" t="s">
        <v>779</v>
      </c>
      <c r="P5" s="1882" t="s">
        <v>888</v>
      </c>
      <c r="Q5" s="1882" t="s">
        <v>882</v>
      </c>
      <c r="R5" s="1882" t="s">
        <v>229</v>
      </c>
      <c r="S5" s="1888" t="s">
        <v>878</v>
      </c>
      <c r="T5" s="1888" t="s">
        <v>881</v>
      </c>
      <c r="U5" s="1882" t="s">
        <v>782</v>
      </c>
      <c r="V5" s="1888" t="s">
        <v>751</v>
      </c>
      <c r="W5" s="1882" t="s">
        <v>1034</v>
      </c>
      <c r="X5" s="1882" t="s">
        <v>1035</v>
      </c>
      <c r="Y5" s="1902" t="s">
        <v>869</v>
      </c>
      <c r="Z5" s="1899" t="s">
        <v>807</v>
      </c>
      <c r="AA5" s="1917" t="s">
        <v>752</v>
      </c>
      <c r="AB5" s="1899" t="s">
        <v>753</v>
      </c>
      <c r="AC5" s="1899" t="s">
        <v>754</v>
      </c>
      <c r="AD5" s="1920" t="s">
        <v>870</v>
      </c>
      <c r="AE5" s="1920" t="s">
        <v>1062</v>
      </c>
      <c r="AF5" s="1882" t="s">
        <v>883</v>
      </c>
      <c r="AG5" s="1882" t="s">
        <v>706</v>
      </c>
      <c r="AH5" s="1882" t="s">
        <v>871</v>
      </c>
      <c r="AI5" s="1882" t="s">
        <v>240</v>
      </c>
      <c r="AJ5" s="1882" t="s">
        <v>938</v>
      </c>
      <c r="AK5" s="1882" t="s">
        <v>707</v>
      </c>
      <c r="AL5" s="1882" t="s">
        <v>708</v>
      </c>
      <c r="AM5" s="1882" t="s">
        <v>889</v>
      </c>
      <c r="AN5" s="1882" t="s">
        <v>709</v>
      </c>
      <c r="AO5" s="1882" t="s">
        <v>710</v>
      </c>
      <c r="AP5" s="1882" t="s">
        <v>711</v>
      </c>
      <c r="AQ5" s="1882" t="s">
        <v>712</v>
      </c>
      <c r="AR5" s="1882" t="s">
        <v>872</v>
      </c>
      <c r="AS5" s="1882" t="s">
        <v>243</v>
      </c>
      <c r="AT5" s="1905" t="s">
        <v>241</v>
      </c>
      <c r="AU5" s="1882" t="s">
        <v>884</v>
      </c>
      <c r="AV5" s="1908" t="s">
        <v>885</v>
      </c>
      <c r="AW5" s="1911" t="s">
        <v>714</v>
      </c>
      <c r="AX5" s="1882" t="s">
        <v>715</v>
      </c>
      <c r="AY5" s="1882" t="s">
        <v>805</v>
      </c>
      <c r="AZ5" s="1914" t="s">
        <v>806</v>
      </c>
      <c r="BA5" s="1882" t="s">
        <v>756</v>
      </c>
      <c r="BB5" s="1908" t="s">
        <v>757</v>
      </c>
      <c r="BC5" s="1911" t="s">
        <v>244</v>
      </c>
      <c r="BD5" s="1882" t="s">
        <v>758</v>
      </c>
      <c r="BE5" s="1882" t="s">
        <v>321</v>
      </c>
      <c r="BF5" s="1882" t="s">
        <v>322</v>
      </c>
      <c r="BG5" s="1882" t="s">
        <v>323</v>
      </c>
      <c r="BH5" s="1882" t="s">
        <v>759</v>
      </c>
      <c r="BI5" s="1882" t="s">
        <v>324</v>
      </c>
      <c r="BJ5" s="1882" t="s">
        <v>760</v>
      </c>
      <c r="BK5" s="1882" t="s">
        <v>775</v>
      </c>
      <c r="BL5" s="1882" t="s">
        <v>761</v>
      </c>
      <c r="BM5" s="1882" t="s">
        <v>762</v>
      </c>
      <c r="BN5" s="1882" t="s">
        <v>790</v>
      </c>
      <c r="BO5" s="1882" t="s">
        <v>783</v>
      </c>
      <c r="BP5" s="1882" t="s">
        <v>1111</v>
      </c>
      <c r="BQ5" s="1882" t="s">
        <v>1115</v>
      </c>
      <c r="BR5" s="1882" t="s">
        <v>1117</v>
      </c>
      <c r="BS5" s="1882" t="s">
        <v>784</v>
      </c>
      <c r="BT5" s="1882" t="s">
        <v>763</v>
      </c>
      <c r="BU5" s="1882" t="s">
        <v>713</v>
      </c>
      <c r="BV5" s="1896" t="s">
        <v>1036</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320</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320</v>
      </c>
      <c r="C10" s="747" t="str">
        <f>Datos!A10</f>
        <v>Jdos. Violencia contra la mujer</v>
      </c>
      <c r="D10" s="601"/>
      <c r="E10" s="764">
        <f>IF(ISNUMBER(Datos!AQ10),Datos!AQ10," - ")</f>
        <v>0</v>
      </c>
      <c r="F10" s="552">
        <f>IF(ISNUMBER(Datos!L10+Datos!K10-Datos!J10),Datos!L10+Datos!K10-Datos!J10," - ")</f>
        <v>27</v>
      </c>
      <c r="G10" s="543">
        <f>IF(ISNUMBER(Datos!I10),Datos!I10," - ")</f>
        <v>27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1</v>
      </c>
      <c r="AD10" s="549"/>
      <c r="AE10" s="563"/>
      <c r="AF10" s="551">
        <f>IF(ISNUMBER(Datos!L10),Datos!L10,"-")</f>
        <v>29</v>
      </c>
      <c r="AG10" s="549"/>
      <c r="AH10" s="549"/>
      <c r="AI10" s="549"/>
      <c r="AJ10" s="549"/>
      <c r="AK10" s="549"/>
      <c r="AL10" s="550"/>
      <c r="AM10" s="766">
        <f>IF(ISNUMBER(Datos!R10),Datos!R10," - ")</f>
        <v>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9.6666666666666661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0.15384615384615385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320</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6</v>
      </c>
      <c r="B12" s="746" t="s">
        <v>320</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127</v>
      </c>
      <c r="O12" s="549"/>
      <c r="P12" s="549"/>
      <c r="Q12" s="547">
        <f>IF(ISNUMBER(Datos!P12),Datos!P12,0)</f>
        <v>204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58</v>
      </c>
      <c r="AI12" s="549" t="str">
        <f>IF(ISNUMBER(Datos!CD12),Datos!CD12,"-")</f>
        <v>-</v>
      </c>
      <c r="AJ12" s="549" t="str">
        <f>IF(ISNUMBER(Datos!EN12),Datos!EN12," - ")</f>
        <v xml:space="preserve"> - </v>
      </c>
      <c r="AK12" s="549"/>
      <c r="AL12" s="550"/>
      <c r="AM12" s="766">
        <f>IF(ISNUMBER(Datos!R12),Datos!R12," - ")</f>
        <v>4045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234</v>
      </c>
      <c r="BD12" s="693">
        <f>IF(ISNUMBER(Datos!N12),Datos!N12," - ")</f>
        <v>295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0.92890442890442892</v>
      </c>
      <c r="BH12" s="764">
        <f>IF(ISNUMBER(((IF(J_V="SI",Datos!L12/Datos!K12,(Datos!L12+Datos!AB12)/(Datos!K12+Datos!AA12)))*11)/factor_trimestre),((IF(J_V="SI",Datos!L12/Datos!K12,(Datos!L12+Datos!AB12)/(Datos!K12+Datos!AA12)))*11)/factor_trimestre," - ")</f>
        <v>4.2835633626097867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2.3791445203745886E-2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320</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27</v>
      </c>
      <c r="G14" s="1197">
        <f t="shared" si="1"/>
        <v>27</v>
      </c>
      <c r="H14" s="1198">
        <f t="shared" si="1"/>
        <v>0</v>
      </c>
      <c r="I14" s="1197">
        <f t="shared" si="1"/>
        <v>0</v>
      </c>
      <c r="J14" s="1164">
        <f t="shared" si="1"/>
        <v>0</v>
      </c>
      <c r="K14" s="1164">
        <f t="shared" si="1"/>
        <v>0</v>
      </c>
      <c r="L14" s="1198">
        <f t="shared" si="1"/>
        <v>0</v>
      </c>
      <c r="M14" s="1198">
        <f t="shared" si="1"/>
        <v>0</v>
      </c>
      <c r="N14" s="1198">
        <f t="shared" si="1"/>
        <v>127</v>
      </c>
      <c r="O14" s="1199">
        <f t="shared" si="1"/>
        <v>0</v>
      </c>
      <c r="P14" s="1199">
        <f t="shared" si="1"/>
        <v>0</v>
      </c>
      <c r="Q14" s="1198">
        <f t="shared" si="1"/>
        <v>207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111</v>
      </c>
      <c r="AD14" s="1198">
        <f t="shared" si="2"/>
        <v>0</v>
      </c>
      <c r="AE14" s="1198">
        <f t="shared" si="2"/>
        <v>0</v>
      </c>
      <c r="AF14" s="1198">
        <f t="shared" si="2"/>
        <v>29</v>
      </c>
      <c r="AG14" s="1198">
        <f t="shared" si="2"/>
        <v>0</v>
      </c>
      <c r="AH14" s="1198">
        <f t="shared" si="2"/>
        <v>58</v>
      </c>
      <c r="AI14" s="1198">
        <f t="shared" si="2"/>
        <v>0</v>
      </c>
      <c r="AJ14" s="1198">
        <f t="shared" si="2"/>
        <v>0</v>
      </c>
      <c r="AK14" s="1198">
        <f t="shared" si="2"/>
        <v>0</v>
      </c>
      <c r="AL14" s="1198">
        <f t="shared" si="2"/>
        <v>0</v>
      </c>
      <c r="AM14" s="1198">
        <f t="shared" si="2"/>
        <v>4060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239</v>
      </c>
      <c r="BD14" s="1198">
        <f t="shared" si="2"/>
        <v>295</v>
      </c>
      <c r="BE14" s="1198">
        <f t="shared" si="2"/>
        <v>0</v>
      </c>
      <c r="BF14" s="1198">
        <f t="shared" si="2"/>
        <v>0</v>
      </c>
      <c r="BG14" s="1198">
        <f>IF(ISNUMBER(Datos!K14/Datos!J14),Datos!K14/Datos!J14," - ")</f>
        <v>0.94587280108254401</v>
      </c>
      <c r="BH14" s="1202">
        <f>IF(ISNUMBER(((Datos!L14/Datos!K14)*11)/factor_trimestre),((Datos!L14/Datos!K14)*11)/factor_trimestre," - ")</f>
        <v>4.8011444921316162</v>
      </c>
      <c r="BI14" s="1198">
        <f>IF(ISNUMBER('Resol  Asuntos'!D14/NºAsuntos!G14),'Resol  Asuntos'!D14/NºAsuntos!G14," - ")</f>
        <v>0.29763387297633875</v>
      </c>
      <c r="BJ14" s="1198" t="str">
        <f>IF(ISNUMBER(Datos!CI14/Datos!CJ14),Datos!CI14/Datos!CJ14," - ")</f>
        <v xml:space="preserve"> - </v>
      </c>
      <c r="BK14" s="1198">
        <f>SUBTOTAL(9,BK8:BK13)</f>
        <v>0</v>
      </c>
      <c r="BL14" s="1198">
        <f>IF(ISNUMBER((I14-AB14+L14)/(F14)),(I14-AB14+L14)/(F14)," - ")</f>
        <v>-0.22222222222222221</v>
      </c>
      <c r="BM14" s="1203">
        <f>SUBTOTAL(9,BM9:BM13)</f>
        <v>0.17763759904989973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510</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6</v>
      </c>
      <c r="B17" s="737" t="s">
        <v>510</v>
      </c>
      <c r="C17" s="749" t="str">
        <f>Datos!A17</f>
        <v xml:space="preserve">Jdos. 1ª Instª. e Instr.                        </v>
      </c>
      <c r="D17" s="750"/>
      <c r="E17" s="1555">
        <f>IF(ISNUMBER(Datos!AQ17),Datos!AQ17," - ")</f>
        <v>6</v>
      </c>
      <c r="F17" s="740">
        <f>IF(ISNUMBER(AF17+AB17-Datos!J17-L17),AF17+AB17-Datos!J17-L17," - ")</f>
        <v>558</v>
      </c>
      <c r="G17" s="743">
        <f>IF(ISNUMBER(IF(D_I="SI",Datos!I17,Datos!I17+Datos!AC17)),IF(D_I="SI",Datos!I17,Datos!I17+Datos!AC17)," - ")</f>
        <v>550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1536</v>
      </c>
      <c r="AC17" s="240">
        <f>IF(ISNUMBER(Datos!Q17),Datos!Q17," - ")</f>
        <v>34</v>
      </c>
      <c r="AD17" s="374"/>
      <c r="AE17" s="562"/>
      <c r="AF17" s="741">
        <f>IF(ISNUMBER(IF(D_I="SI",Datos!L17,Datos!L17+Datos!AF17)),IF(D_I="SI",Datos!L17,Datos!L17+Datos!AF17)," - ")</f>
        <v>659</v>
      </c>
      <c r="AG17" s="374"/>
      <c r="AH17" s="374"/>
      <c r="AI17" s="374"/>
      <c r="AJ17" s="549"/>
      <c r="AK17" s="374"/>
      <c r="AL17" s="545"/>
      <c r="AM17" s="375">
        <f>IF(ISNUMBER(Datos!R17),Datos!R17," - ")</f>
        <v>160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143</v>
      </c>
      <c r="BD17" s="243">
        <f>IF(ISNUMBER(Datos!N17),Datos!N17," - ")</f>
        <v>1083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0.93830177153329264</v>
      </c>
      <c r="BH17" s="764">
        <f>IF(ISNUMBER(((IF(D_I="SI",Datos!L17/Datos!K17,(Datos!L17+Datos!AF17)/(Datos!K17+Datos!AE17)))*11)/factor_trimestre),((IF(D_I="SI",Datos!L17/Datos!K17,(Datos!L17+Datos!AF17)/(Datos!K17+Datos!AE17)))*11)/factor_trimestre," - ")</f>
        <v>0.85807291666666652</v>
      </c>
      <c r="BI17" s="266">
        <f>IF(ISNUMBER('Resol  Asuntos'!D17/NºAsuntos!G17),'Resol  Asuntos'!D17/NºAsuntos!G17," - ")</f>
        <v>9.3098958333333329E-2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510</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109</v>
      </c>
      <c r="AC18" s="547">
        <f>IF(ISNUMBER(Datos!Q18),Datos!Q18," - ")</f>
        <v>0</v>
      </c>
      <c r="AD18" s="549"/>
      <c r="AE18" s="562"/>
      <c r="AF18" s="551">
        <f>IF(ISNUMBER(Datos!L18),Datos!L18,"-")</f>
        <v>82</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40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0.8582677165354331</v>
      </c>
      <c r="BH18" s="764">
        <f>IF(ISNUMBER(((IF(D_I="SI",Datos!L18/Datos!K18,(Datos!L18+Datos!AF18)/(Datos!K18+Datos!AE18)))*11)/factor_trimestre),((IF(D_I="SI",Datos!L18/Datos!K18,(Datos!L18+Datos!AF18)/(Datos!K18+Datos!AE18)))*11)/factor_trimestre," - ")</f>
        <v>1.5045871559633028</v>
      </c>
      <c r="BI18" s="763">
        <f>IF(ISNUMBER('Resol  Asuntos'!D18/NºAsuntos!G18),'Resol  Asuntos'!D18/NºAsuntos!G18," - ")</f>
        <v>0.11009174311926606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510</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510</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1</v>
      </c>
      <c r="B21" s="746" t="s">
        <v>510</v>
      </c>
      <c r="C21" s="747" t="str">
        <f>Datos!A21</f>
        <v xml:space="preserve">Jdos. de lo Penal                               </v>
      </c>
      <c r="D21" s="601"/>
      <c r="E21" s="1380">
        <f>IF(ISNUMBER(Datos!AQ21),Datos!AQ21," - ")</f>
        <v>0</v>
      </c>
      <c r="F21" s="552">
        <f>IF(ISNUMBER(Datos!L21+Datos!K21-Datos!J21),Datos!L21+Datos!K21-Datos!J21," - ")</f>
        <v>0</v>
      </c>
      <c r="G21" s="543">
        <f>IF(ISNUMBER(Datos!I21),Datos!I21," - ")</f>
        <v>0</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0</v>
      </c>
      <c r="AC21" s="547">
        <f>IF(ISNUMBER(Datos!Q21),Datos!Q21," - ")</f>
        <v>0</v>
      </c>
      <c r="AD21" s="549"/>
      <c r="AE21" s="563"/>
      <c r="AF21" s="551">
        <f>IF(ISNUMBER(Datos!L21),Datos!L21,"-")</f>
        <v>0</v>
      </c>
      <c r="AG21" s="549"/>
      <c r="AH21" s="549"/>
      <c r="AI21" s="549"/>
      <c r="AJ21" s="549"/>
      <c r="AK21" s="549"/>
      <c r="AL21" s="550"/>
      <c r="AM21" s="766">
        <f>IF(ISNUMBER(Datos!R21),Datos!R21," - ")</f>
        <v>2</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0</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510</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558</v>
      </c>
      <c r="G23" s="1197">
        <f>SUBTOTAL(9,G16:G22)</f>
        <v>614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1645</v>
      </c>
      <c r="AC23" s="1198">
        <f t="shared" si="5"/>
        <v>34</v>
      </c>
      <c r="AD23" s="1198">
        <f t="shared" si="5"/>
        <v>0</v>
      </c>
      <c r="AE23" s="1198">
        <f t="shared" si="5"/>
        <v>0</v>
      </c>
      <c r="AF23" s="1198">
        <f t="shared" si="5"/>
        <v>741</v>
      </c>
      <c r="AG23" s="1198">
        <f t="shared" si="5"/>
        <v>0</v>
      </c>
      <c r="AH23" s="1198">
        <f t="shared" si="5"/>
        <v>0</v>
      </c>
      <c r="AI23" s="1198">
        <f t="shared" si="5"/>
        <v>0</v>
      </c>
      <c r="AJ23" s="1198">
        <f t="shared" si="5"/>
        <v>0</v>
      </c>
      <c r="AK23" s="1198">
        <f t="shared" si="5"/>
        <v>0</v>
      </c>
      <c r="AL23" s="1198">
        <f t="shared" si="5"/>
        <v>0</v>
      </c>
      <c r="AM23" s="1198">
        <f t="shared" si="5"/>
        <v>165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155</v>
      </c>
      <c r="BD23" s="1198">
        <f t="shared" si="5"/>
        <v>1123</v>
      </c>
      <c r="BE23" s="1198">
        <f t="shared" si="5"/>
        <v>0</v>
      </c>
      <c r="BF23" s="1198">
        <f t="shared" si="5"/>
        <v>0</v>
      </c>
      <c r="BG23" s="1198">
        <f>IF(ISNUMBER(Datos!K23/Datos!J23),Datos!K23/Datos!J23," - ")</f>
        <v>0.93253968253968256</v>
      </c>
      <c r="BH23" s="1202">
        <f>IF(ISNUMBER(((Datos!L23/Datos!K23)*11)/factor_trimestre),((Datos!L23/Datos!K23)*11)/factor_trimestre," - ")</f>
        <v>0.90091185410334351</v>
      </c>
      <c r="BI23" s="1198">
        <f>SUBTOTAL(9,BI16:BI22)</f>
        <v>0.20319070145259938</v>
      </c>
      <c r="BJ23" s="1198">
        <f>SUBTOTAL(9,BJ16:BJ22)</f>
        <v>0</v>
      </c>
      <c r="BK23" s="1198">
        <f>SUBTOTAL(9,BK16:BK22)</f>
        <v>0</v>
      </c>
      <c r="BL23" s="1198">
        <f>IF(ISNUMBER((I23-AB23+L23)/(F23)),(I23-AB23+L23)/(F23)," - ")</f>
        <v>-2.9480286738351253</v>
      </c>
      <c r="BM23" s="1205">
        <f>IF(ISNUMBER((Datos!P23-Datos!Q23)/(Datos!R23-Datos!P23+Datos!Q23)),(Datos!P23-Datos!Q23)/(Datos!R23-Datos!P23+Datos!Q23)," - ")</f>
        <v>0.13793103448275862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511</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512</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512</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585</v>
      </c>
      <c r="G31" s="1117">
        <f t="shared" si="18"/>
        <v>641</v>
      </c>
      <c r="H31" s="1119">
        <f t="shared" si="18"/>
        <v>0</v>
      </c>
      <c r="I31" s="1117">
        <f t="shared" si="18"/>
        <v>0</v>
      </c>
      <c r="J31" s="1119">
        <f t="shared" si="18"/>
        <v>0</v>
      </c>
      <c r="K31" s="1119">
        <f t="shared" si="18"/>
        <v>0</v>
      </c>
      <c r="L31" s="1180">
        <f t="shared" si="18"/>
        <v>0</v>
      </c>
      <c r="M31" s="1180">
        <f t="shared" si="18"/>
        <v>0</v>
      </c>
      <c r="N31" s="1180">
        <f t="shared" si="18"/>
        <v>127</v>
      </c>
      <c r="O31" s="1180">
        <f t="shared" si="18"/>
        <v>0</v>
      </c>
      <c r="P31" s="1180">
        <f t="shared" si="18"/>
        <v>0</v>
      </c>
      <c r="Q31" s="1119">
        <f t="shared" si="18"/>
        <v>261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1651</v>
      </c>
      <c r="AC31" s="1118">
        <f t="shared" si="19"/>
        <v>145</v>
      </c>
      <c r="AD31" s="1118">
        <f t="shared" si="19"/>
        <v>0</v>
      </c>
      <c r="AE31" s="1118">
        <f t="shared" si="19"/>
        <v>0</v>
      </c>
      <c r="AF31" s="1125">
        <f t="shared" si="19"/>
        <v>770</v>
      </c>
      <c r="AG31" s="1125">
        <f t="shared" si="19"/>
        <v>0</v>
      </c>
      <c r="AH31" s="1125">
        <f t="shared" si="19"/>
        <v>58</v>
      </c>
      <c r="AI31" s="1125">
        <f t="shared" si="19"/>
        <v>0</v>
      </c>
      <c r="AJ31" s="1118">
        <f t="shared" si="19"/>
        <v>0</v>
      </c>
      <c r="AK31" s="1125">
        <f t="shared" si="19"/>
        <v>0</v>
      </c>
      <c r="AL31" s="1125">
        <f t="shared" si="19"/>
        <v>0</v>
      </c>
      <c r="AM31" s="1125">
        <f t="shared" si="19"/>
        <v>4225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394</v>
      </c>
      <c r="BD31" s="1117">
        <f t="shared" si="19"/>
        <v>1418</v>
      </c>
      <c r="BE31" s="1117">
        <f t="shared" si="19"/>
        <v>0</v>
      </c>
      <c r="BF31" s="1127">
        <f t="shared" si="19"/>
        <v>0</v>
      </c>
      <c r="BG31" s="1223">
        <f>IF(ISNUMBER(Datos!K31/Datos!J31),Datos!K31/Datos!J31," - ")</f>
        <v>0.93647622852576906</v>
      </c>
      <c r="BH31" s="1223">
        <f>IF(ISNUMBER(((Datos!L31/Datos!K31)*11)/factor_trimestre),((Datos!L31/Datos!K31)*11)/factor_trimestre," - ")</f>
        <v>2.0639931740614332</v>
      </c>
      <c r="BI31" s="1103">
        <f>IF(ISNUMBER(Datos!J31/Datos!I31),Datos!J31/Datos!I31," - ")</f>
        <v>1.0579036348267117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-2.8222222222222224</v>
      </c>
      <c r="BM31" s="1188">
        <f>IF(ISNUMBER((Datos!P31-Datos!Q31+R31)/(Datos!R31-Datos!P31+Datos!Q31-R31)),(Datos!P31-Datos!Q31+R31)/(Datos!R31-Datos!P31+Datos!Q31-R31)," - ")</f>
        <v>2.8230713068873207E-2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340</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160.25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341</v>
      </c>
      <c r="D33" s="558"/>
      <c r="E33" s="634">
        <f>IF(ISNUMBER(STDEV(E8:E30)),STDEV(E8:E30),"-")</f>
        <v>2.5131234497501729</v>
      </c>
      <c r="F33" s="673">
        <f>IF(ISNUMBER(STDEV(F8:F30)),STDEV(F8:F30),"-")</f>
        <v>267.27914781580483</v>
      </c>
      <c r="G33" s="674">
        <f>IF(ISNUMBER(STDEV(G8:G30)),STDEV(G8:G30),"-")</f>
        <v>261.75492900257456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728.43996713132492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104.59817291797107</v>
      </c>
      <c r="BD33" s="673"/>
      <c r="BE33" s="673">
        <f>IF(ISNUMBER(STDEV(BE8:BE30)),STDEV(BE8:BE30),"-")</f>
        <v>0</v>
      </c>
      <c r="BF33" s="678">
        <f>IF(ISNUMBER(STDEV(BF8:BF30)),STDEV(BF8:BF30),"-")</f>
        <v>0</v>
      </c>
      <c r="BG33" s="1052">
        <f>IF(ISNUMBER(STDEV(BG8:BG30)),STDEV(BG8:BG30),"-")</f>
        <v>7.6619591933108591E-2</v>
      </c>
      <c r="BH33" s="1058">
        <f>IF(ISNUMBER(STDEV(BH8:BH30)),STDEV(BH8:BH30),"-")</f>
        <v>3.402344796859309</v>
      </c>
      <c r="BI33" s="273">
        <f>IF(ISNUMBER(STDEV(BI8:BI30)),STDEV(BI8:BI30),"-")</f>
        <v>9.4429187360768899E-2</v>
      </c>
      <c r="BJ33" s="244" t="str">
        <f>IF(ISNUMBER(BL33/BM33),BL33/BM33," - ")</f>
        <v xml:space="preserve"> - </v>
      </c>
      <c r="BK33" s="709"/>
      <c r="BL33" s="681">
        <f>IF(ISNUMBER(STDEV(BL8:BL30)),STDEV(BL8:BL30),"-")</f>
        <v>1.9274362261375246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545</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338</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339</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qfdwrn0J2Q+0mT2xzYMtYPdpMtHecH1HxowmzlJyXhKemy2w4Iw80D+SyuorniEmKg/sW2swItBfBCwh056UA==" saltValue="qPf73nkTOlEJtLwF3WyV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CEUTA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464</v>
      </c>
      <c r="B5" s="297"/>
      <c r="C5" s="1923" t="str">
        <f>"Año:  " &amp;Criterios!B$5 &amp; "          Trimestre   " &amp;Criterios!D$5 &amp; " al " &amp;Criterios!D$6</f>
        <v>Año:  2022          Trimestre   3 al 3</v>
      </c>
      <c r="D5" s="1925" t="s">
        <v>490</v>
      </c>
      <c r="E5" s="1882" t="s">
        <v>748</v>
      </c>
      <c r="F5" s="1893" t="s">
        <v>526</v>
      </c>
      <c r="G5" s="1882" t="s">
        <v>173</v>
      </c>
      <c r="H5" s="1882" t="s">
        <v>781</v>
      </c>
      <c r="I5" s="1882" t="s">
        <v>749</v>
      </c>
      <c r="J5" s="1882" t="s">
        <v>886</v>
      </c>
      <c r="K5" s="1882" t="s">
        <v>750</v>
      </c>
      <c r="L5" s="1882" t="s">
        <v>779</v>
      </c>
      <c r="M5" s="1882" t="s">
        <v>888</v>
      </c>
      <c r="N5" s="1882" t="s">
        <v>776</v>
      </c>
      <c r="O5" s="1882" t="s">
        <v>810</v>
      </c>
      <c r="P5" s="1888" t="s">
        <v>878</v>
      </c>
      <c r="Q5" s="1888" t="s">
        <v>881</v>
      </c>
      <c r="R5" s="1882" t="s">
        <v>785</v>
      </c>
      <c r="S5" s="1882" t="s">
        <v>751</v>
      </c>
      <c r="T5" s="1882" t="s">
        <v>1034</v>
      </c>
      <c r="U5" s="1882" t="s">
        <v>1035</v>
      </c>
      <c r="V5" s="1902" t="s">
        <v>869</v>
      </c>
      <c r="W5" s="1899" t="s">
        <v>765</v>
      </c>
      <c r="X5" s="1917" t="s">
        <v>766</v>
      </c>
      <c r="Y5" s="1920" t="s">
        <v>786</v>
      </c>
      <c r="Z5" s="1920" t="s">
        <v>811</v>
      </c>
      <c r="AA5" s="1882" t="s">
        <v>755</v>
      </c>
      <c r="AB5" s="1882" t="s">
        <v>767</v>
      </c>
      <c r="AC5" s="1882" t="s">
        <v>768</v>
      </c>
      <c r="AD5" s="1882" t="s">
        <v>708</v>
      </c>
      <c r="AE5" s="1882" t="s">
        <v>889</v>
      </c>
      <c r="AF5" s="1882" t="s">
        <v>243</v>
      </c>
      <c r="AG5" s="1882" t="s">
        <v>769</v>
      </c>
      <c r="AH5" s="1882" t="s">
        <v>756</v>
      </c>
      <c r="AI5" s="1882" t="s">
        <v>757</v>
      </c>
      <c r="AJ5" s="1882" t="s">
        <v>770</v>
      </c>
      <c r="AK5" s="1882" t="s">
        <v>771</v>
      </c>
      <c r="AL5" s="1882" t="s">
        <v>772</v>
      </c>
      <c r="AM5" s="1914" t="s">
        <v>773</v>
      </c>
      <c r="AN5" s="1882" t="s">
        <v>323</v>
      </c>
      <c r="AO5" s="1882" t="s">
        <v>759</v>
      </c>
      <c r="AP5" s="1882" t="s">
        <v>760</v>
      </c>
      <c r="AQ5" s="1882" t="s">
        <v>787</v>
      </c>
      <c r="AR5" s="1882" t="s">
        <v>788</v>
      </c>
      <c r="AS5" s="1882" t="s">
        <v>790</v>
      </c>
      <c r="AT5" s="1882" t="s">
        <v>783</v>
      </c>
      <c r="AU5" s="1882" t="s">
        <v>1111</v>
      </c>
      <c r="AV5" s="1882" t="s">
        <v>435</v>
      </c>
      <c r="AW5" s="1882" t="s">
        <v>774</v>
      </c>
      <c r="AX5" s="1882" t="s">
        <v>713</v>
      </c>
      <c r="BU5" s="1882" t="s">
        <v>1036</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789</v>
      </c>
      <c r="B9" s="745" t="s">
        <v>320</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320</v>
      </c>
      <c r="C10" s="747" t="str">
        <f>Datos!A10</f>
        <v>Jdos. Violencia contra la mujer</v>
      </c>
      <c r="D10" s="601"/>
      <c r="E10" s="1558">
        <f>IF(ISNUMBER(Datos!AQ10),Datos!AQ10," - ")</f>
        <v>0</v>
      </c>
      <c r="F10" s="552">
        <f>IF(ISNUMBER(Datos!L10+Datos!K10-Datos!J10),Datos!L10+Datos!K10-Datos!J10," - ")</f>
        <v>27</v>
      </c>
      <c r="G10" s="552">
        <f>IF(ISNUMBER(Datos!I10),Datos!I10," - ")</f>
        <v>27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1</v>
      </c>
      <c r="AA10" s="551">
        <f>IF(ISNUMBER(Datos!L10),Datos!L10,"-")</f>
        <v>29</v>
      </c>
      <c r="AB10" s="549"/>
      <c r="AC10" s="549"/>
      <c r="AD10" s="563"/>
      <c r="AE10" s="563">
        <f>IF(ISNUMBER(Datos!R10),Datos!R10," - ")</f>
        <v>15</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9.6666666666666661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0.15384615384615385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320</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6</v>
      </c>
      <c r="B12" s="746" t="s">
        <v>320</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110</v>
      </c>
      <c r="AA12" s="551" t="str">
        <f>IF(ISNUMBER(IF(J_V="SI",Datos!L12,Datos!L12+Datos!AB12)-IF(Monitorios="SI",Datos!CD12,0)),
                          IF(J_V="SI",Datos!L12,Datos!L12+Datos!AB12)-IF(Monitorios="SI",Datos!CD12,0),
                          " - ")</f>
        <v xml:space="preserve"> - </v>
      </c>
      <c r="AB12" s="549"/>
      <c r="AC12" s="549"/>
      <c r="AD12" s="563"/>
      <c r="AE12" s="563">
        <f>IF(ISNUMBER(Datos!R12),Datos!R12," - ")</f>
        <v>4045</v>
      </c>
      <c r="AF12" s="693" t="str">
        <f>IF(ISNUMBER(Datos!BV12),Datos!BV12," - ")</f>
        <v xml:space="preserve"> - </v>
      </c>
      <c r="AG12" s="552" t="str">
        <f>IF(ISNUMBER(Datos!DV12),Datos!DV12," - ")</f>
        <v xml:space="preserve"> - </v>
      </c>
      <c r="AH12" s="553"/>
      <c r="AI12" s="554"/>
      <c r="AJ12" s="552">
        <f>IF(ISNUMBER(Datos!M12),Datos!M12," - ")</f>
        <v>234</v>
      </c>
      <c r="AK12" s="693">
        <f>IF(ISNUMBER(Datos!N12),Datos!N12," - ")</f>
        <v>295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4.2835633626097867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2.3791445203745886E-2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320</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27</v>
      </c>
      <c r="G14" s="1197">
        <f>SUBTOTAL(9,G8:G13)</f>
        <v>27</v>
      </c>
      <c r="H14" s="1211"/>
      <c r="I14" s="1197">
        <f t="shared" ref="I14:N14" si="1">SUBTOTAL(9,I8:I13)</f>
        <v>0</v>
      </c>
      <c r="J14" s="1164">
        <f t="shared" si="1"/>
        <v>0</v>
      </c>
      <c r="K14" s="1211">
        <f t="shared" si="1"/>
        <v>0</v>
      </c>
      <c r="L14" s="1211">
        <f t="shared" si="1"/>
        <v>0</v>
      </c>
      <c r="M14" s="1211">
        <f t="shared" si="1"/>
        <v>0</v>
      </c>
      <c r="N14" s="1211">
        <f t="shared" si="1"/>
        <v>207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111</v>
      </c>
      <c r="AA14" s="1199">
        <f t="shared" si="3"/>
        <v>29</v>
      </c>
      <c r="AB14" s="1199">
        <f t="shared" si="3"/>
        <v>0</v>
      </c>
      <c r="AC14" s="1199">
        <f t="shared" si="3"/>
        <v>0</v>
      </c>
      <c r="AD14" s="1199">
        <f t="shared" si="3"/>
        <v>0</v>
      </c>
      <c r="AE14" s="1199">
        <f t="shared" si="3"/>
        <v>4060</v>
      </c>
      <c r="AF14" s="1211">
        <f t="shared" si="3"/>
        <v>0</v>
      </c>
      <c r="AG14" s="1211">
        <f t="shared" si="3"/>
        <v>0</v>
      </c>
      <c r="AH14" s="1211">
        <f t="shared" si="3"/>
        <v>0</v>
      </c>
      <c r="AI14" s="1211">
        <f t="shared" si="3"/>
        <v>0</v>
      </c>
      <c r="AJ14" s="1211">
        <f t="shared" si="3"/>
        <v>239</v>
      </c>
      <c r="AK14" s="1211">
        <f t="shared" si="3"/>
        <v>295</v>
      </c>
      <c r="AL14" s="1211">
        <f t="shared" si="3"/>
        <v>0</v>
      </c>
      <c r="AM14" s="1211">
        <f t="shared" si="3"/>
        <v>0</v>
      </c>
      <c r="AN14" s="1211">
        <f t="shared" si="3"/>
        <v>0</v>
      </c>
      <c r="AO14" s="1203">
        <f>IF(ISNUMBER(((NºAsuntos!I14/NºAsuntos!G14)*11)/factor_trimestre),((NºAsuntos!I14/NºAsuntos!G14)*11)/factor_trimestre," - ")</f>
        <v>4.3237858032378584</v>
      </c>
      <c r="AP14" s="1213" t="str">
        <f>IF(ISNUMBER(Datos!CI14/Datos!CJ14),Datos!CI14/Datos!CJ14," - ")</f>
        <v xml:space="preserve"> - </v>
      </c>
      <c r="AQ14" s="1236">
        <f t="shared" ref="AQ14:AV14" si="4">SUBTOTAL(9,AQ9:AQ13)</f>
        <v>0</v>
      </c>
      <c r="AR14" s="1236">
        <f t="shared" si="4"/>
        <v>0.17763759904989973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510</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6</v>
      </c>
      <c r="B17" s="746" t="s">
        <v>510</v>
      </c>
      <c r="C17" s="765" t="str">
        <f>Datos!A17</f>
        <v xml:space="preserve">Jdos. 1ª Instª. e Instr.                        </v>
      </c>
      <c r="D17" s="593"/>
      <c r="E17" s="1558">
        <f>IF(ISNUMBER(Datos!AQ17),Datos!AQ17," - ")</f>
        <v>6</v>
      </c>
      <c r="F17" s="543">
        <f>IF(ISNUMBER(AA17+Y17-Datos!J17-K16),AA17+Y17-Datos!J17-K16," - ")</f>
        <v>558</v>
      </c>
      <c r="G17" s="552">
        <f>IF(ISNUMBER(IF(D_I="SI",Datos!I17,Datos!I17+Datos!AC17)),IF(D_I="SI",Datos!I17,Datos!I17+Datos!AC17)," - ")</f>
        <v>550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1536</v>
      </c>
      <c r="Z17" s="805">
        <f>IF(ISNUMBER(Datos!Q17),Datos!Q17," - ")</f>
        <v>34</v>
      </c>
      <c r="AA17" s="551">
        <f>IF(ISNUMBER(IF(D_I="SI",Datos!L17,Datos!L17+Datos!AF17)),IF(D_I="SI",Datos!L17,Datos!L17+Datos!AF17)," - ")</f>
        <v>659</v>
      </c>
      <c r="AB17" s="549"/>
      <c r="AC17" s="549"/>
      <c r="AD17" s="563"/>
      <c r="AE17" s="563">
        <f>IF(ISNUMBER(Datos!R17),Datos!R17," - ")</f>
        <v>160</v>
      </c>
      <c r="AF17" s="693" t="str">
        <f>IF(ISNUMBER(Datos!BV17),Datos!BV17," - ")</f>
        <v xml:space="preserve"> - </v>
      </c>
      <c r="AG17" s="552"/>
      <c r="AH17" s="553"/>
      <c r="AI17" s="554"/>
      <c r="AJ17" s="552">
        <f>IF(ISNUMBER(Datos!M17),Datos!M17," - ")</f>
        <v>143</v>
      </c>
      <c r="AK17" s="693">
        <f>IF(ISNUMBER(Datos!N17),Datos!N17," - ")</f>
        <v>1083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0.85807291666666652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510</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109</v>
      </c>
      <c r="Z18" s="805">
        <f>IF(ISNUMBER(Datos!Q18),Datos!Q18," - ")</f>
        <v>0</v>
      </c>
      <c r="AA18" s="551">
        <f>IF(ISNUMBER(Datos!L18),Datos!L18,"-")</f>
        <v>82</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12</v>
      </c>
      <c r="AK18" s="693">
        <f>IF(ISNUMBER(Datos!N18),Datos!N18," - ")</f>
        <v>40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1.5045871559633028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510</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510</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1</v>
      </c>
      <c r="B21" s="746" t="s">
        <v>510</v>
      </c>
      <c r="C21" s="747" t="str">
        <f>Datos!A21</f>
        <v xml:space="preserve">Jdos. de lo Penal                               </v>
      </c>
      <c r="D21" s="601"/>
      <c r="E21" s="1558">
        <f>IF(ISNUMBER(Datos!AQ21),Datos!AQ21," - ")</f>
        <v>0</v>
      </c>
      <c r="F21" s="552">
        <f>IF(ISNUMBER(Datos!L21+Datos!K21-Datos!J21),Datos!L21+Datos!K21-Datos!J21," - ")</f>
        <v>0</v>
      </c>
      <c r="G21" s="552">
        <f>IF(ISNUMBER(Datos!I21),Datos!I21," - ")</f>
        <v>0</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0</v>
      </c>
      <c r="Z21" s="805">
        <f>IF(ISNUMBER(Datos!Q21),Datos!Q21," - ")</f>
        <v>0</v>
      </c>
      <c r="AA21" s="551">
        <f>IF(ISNUMBER(Datos!L21),Datos!L21,"-")</f>
        <v>0</v>
      </c>
      <c r="AB21" s="549"/>
      <c r="AC21" s="549"/>
      <c r="AD21" s="563"/>
      <c r="AE21" s="563">
        <f>IF(ISNUMBER(Datos!R21),Datos!R21," - ")</f>
        <v>2</v>
      </c>
      <c r="AF21" s="693" t="str">
        <f>IF(ISNUMBER(Datos!BV21),Datos!BV21," - ")</f>
        <v xml:space="preserve"> - </v>
      </c>
      <c r="AG21" s="552"/>
      <c r="AH21" s="553"/>
      <c r="AI21" s="554"/>
      <c r="AJ21" s="552">
        <f>IF(ISNUMBER(Datos!M21),Datos!M21," - ")</f>
        <v>0</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510</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558</v>
      </c>
      <c r="G23" s="1197">
        <f>SUBTOTAL(9,G16:G22)</f>
        <v>614</v>
      </c>
      <c r="H23" s="1240">
        <f>SUBTOTAL(9,H16:H22)</f>
        <v>0</v>
      </c>
      <c r="I23" s="1217">
        <f>SUBTOTAL(9,I16:I22)</f>
        <v>0</v>
      </c>
      <c r="J23" s="1164">
        <f>SUBTOTAL(9,J15:J22)</f>
        <v>0</v>
      </c>
      <c r="K23" s="1240">
        <f t="shared" ref="K23:S23" si="5">SUBTOTAL(9,K16:K22)</f>
        <v>0</v>
      </c>
      <c r="L23" s="1240">
        <f t="shared" si="5"/>
        <v>0</v>
      </c>
      <c r="M23" s="1240">
        <f t="shared" si="5"/>
        <v>0</v>
      </c>
      <c r="N23" s="1240">
        <f t="shared" si="5"/>
        <v>54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1645</v>
      </c>
      <c r="Z23" s="1240">
        <f t="shared" si="6"/>
        <v>34</v>
      </c>
      <c r="AA23" s="1240">
        <f t="shared" si="6"/>
        <v>741</v>
      </c>
      <c r="AB23" s="1240">
        <f t="shared" si="6"/>
        <v>0</v>
      </c>
      <c r="AC23" s="1240">
        <f t="shared" si="6"/>
        <v>0</v>
      </c>
      <c r="AD23" s="1240">
        <f t="shared" si="6"/>
        <v>0</v>
      </c>
      <c r="AE23" s="1240">
        <f t="shared" si="6"/>
        <v>165</v>
      </c>
      <c r="AF23" s="1240">
        <f t="shared" si="6"/>
        <v>0</v>
      </c>
      <c r="AG23" s="1240">
        <f t="shared" si="6"/>
        <v>0</v>
      </c>
      <c r="AH23" s="1240">
        <f t="shared" si="6"/>
        <v>0</v>
      </c>
      <c r="AI23" s="1240">
        <f t="shared" si="6"/>
        <v>0</v>
      </c>
      <c r="AJ23" s="1240">
        <f t="shared" si="6"/>
        <v>155</v>
      </c>
      <c r="AK23" s="1240">
        <f t="shared" si="6"/>
        <v>1123</v>
      </c>
      <c r="AL23" s="1240">
        <f t="shared" si="6"/>
        <v>0</v>
      </c>
      <c r="AM23" s="1240">
        <f t="shared" si="6"/>
        <v>0</v>
      </c>
      <c r="AN23" s="1240">
        <f t="shared" si="6"/>
        <v>0</v>
      </c>
      <c r="AO23" s="1242">
        <f>IF(ISNUMBER(((NºAsuntos!I23/NºAsuntos!G23)*11)/factor_trimestre),((NºAsuntos!I23/NºAsuntos!G23)*11)/factor_trimestre," - ")</f>
        <v>0.90091185410334351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511</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512</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512</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585</v>
      </c>
      <c r="G31" s="1117">
        <f t="shared" si="12"/>
        <v>641</v>
      </c>
      <c r="H31" s="1118">
        <f t="shared" si="12"/>
        <v>0</v>
      </c>
      <c r="I31" s="1117">
        <f t="shared" si="12"/>
        <v>0</v>
      </c>
      <c r="J31" s="1119">
        <f t="shared" si="12"/>
        <v>0</v>
      </c>
      <c r="K31" s="1117">
        <f t="shared" si="12"/>
        <v>0</v>
      </c>
      <c r="L31" s="1120">
        <f t="shared" si="12"/>
        <v>0</v>
      </c>
      <c r="M31" s="1117">
        <f t="shared" si="12"/>
        <v>0</v>
      </c>
      <c r="N31" s="1118">
        <f t="shared" si="12"/>
        <v>261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1651</v>
      </c>
      <c r="Z31" s="1124">
        <f t="shared" si="13"/>
        <v>145</v>
      </c>
      <c r="AA31" s="1125">
        <f t="shared" si="13"/>
        <v>770</v>
      </c>
      <c r="AB31" s="1125">
        <f t="shared" si="13"/>
        <v>0</v>
      </c>
      <c r="AC31" s="1125">
        <f t="shared" si="13"/>
        <v>0</v>
      </c>
      <c r="AD31" s="1126">
        <f t="shared" si="13"/>
        <v>0</v>
      </c>
      <c r="AE31" s="1126">
        <f t="shared" si="13"/>
        <v>4225</v>
      </c>
      <c r="AF31" s="1127">
        <f t="shared" si="13"/>
        <v>0</v>
      </c>
      <c r="AG31" s="1128">
        <f t="shared" si="13"/>
        <v>0</v>
      </c>
      <c r="AH31" s="1129">
        <f t="shared" si="13"/>
        <v>0</v>
      </c>
      <c r="AI31" s="1127">
        <f t="shared" si="13"/>
        <v>0</v>
      </c>
      <c r="AJ31" s="1117">
        <f t="shared" si="13"/>
        <v>394</v>
      </c>
      <c r="AK31" s="1117">
        <f t="shared" si="13"/>
        <v>1418</v>
      </c>
      <c r="AL31" s="1117">
        <f t="shared" si="13"/>
        <v>0</v>
      </c>
      <c r="AM31" s="1130">
        <f t="shared" si="13"/>
        <v>0</v>
      </c>
      <c r="AN31" s="1120">
        <f>IF(ISNUMBER(Datos!K31/Datos!J31),Datos!K31/Datos!J31," - ")</f>
        <v>0.93647622852576906</v>
      </c>
      <c r="AO31" s="1120">
        <f>IF(ISNUMBER(FIND("06",Criterios!A8,1)),(IF(ISNUMBER(((Datos!R31/Datos!Q31)*11)/factor_trimestre),((Datos!R31/Datos!Q31)*11)/factor_trimestre," - ")),(IF(ISNUMBER(((Datos!L31/Datos!K31)*11)/factor_trimestre),((Datos!L31/Datos!K31)*11)/factor_trimestre," - ")))</f>
        <v>2.0639931740614332</v>
      </c>
      <c r="AP31" s="1131" t="str">
        <f>IF(ISNUMBER(Datos!CI31/Datos!CJ31),Datos!CI31/Datos!CJ31," - ")</f>
        <v xml:space="preserve"> - </v>
      </c>
      <c r="AQ31" s="1131">
        <f>IF(OR(ISNUMBER(FIND("01",Criterios!A8,1)),ISNUMBER(FIND("02",Criterios!A8,1)),ISNUMBER(FIND("03",Criterios!A8,1)),ISNUMBER(FIND("04",Criterios!A8,1))),(J31-Y31+K31)/(F31-K31),(I31-Y31+K31)/(F31-K31))</f>
        <v>-2.8222222222222224</v>
      </c>
      <c r="AR31" s="1131">
        <f>IF(ISNUMBER((Datos!P31-Datos!Q31+O31)/(Datos!R31-Datos!P31+Datos!Q31-O31)),(Datos!P31-Datos!Q31+O31)/(Datos!R31-Datos!P31+Datos!Q31-O31)," - ")</f>
        <v>2.8230713068873207E-2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340</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160.25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341</v>
      </c>
      <c r="D33" s="384"/>
      <c r="E33" s="715"/>
      <c r="F33" s="276">
        <f>IF(ISNUMBER(STDEV(F8:F30)),STDEV(F8:F30),"-")</f>
        <v>267.27914781580483</v>
      </c>
      <c r="G33" s="674">
        <f>IF(ISNUMBER(STDEV(G8:G30)),STDEV(G8:G30),"-")</f>
        <v>261.75492900257456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104.59817291797107</v>
      </c>
      <c r="AK33" s="276"/>
      <c r="AL33" s="276">
        <f>IF(ISNUMBER(STDEV(AL8:AL30)),STDEV(AL8:AL30),"-")</f>
        <v>0</v>
      </c>
      <c r="AM33" s="278">
        <f>IF(ISNUMBER(STDEV(AM8:AM30)),STDEV(AM8:AM30),"-")</f>
        <v>0</v>
      </c>
      <c r="AN33" s="660">
        <f>IF(ISNUMBER(STDEV(AN8:AN30)),STDEV(AN8:AN30),"-")</f>
        <v>0</v>
      </c>
      <c r="AO33" s="661">
        <f>IF(ISNUMBER(STDEV(AO8:AO30)),STDEV(AO8:AO30),"-")</f>
        <v>3.3760603053284908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338</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339</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BnGprm1o3aZeponVGl0hDau0oVWGC6isJsatPaiYfmyYwQvRxuZ/gOlkcitN3Gdvop6666ifs3oS3zwWsFt+A==" saltValue="F363l0DO1IydC9qQPxeQ8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826</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827</v>
      </c>
      <c r="B4" s="1933" t="s">
        <v>937</v>
      </c>
      <c r="C4" s="1933" t="s">
        <v>828</v>
      </c>
      <c r="D4" s="1933" t="s">
        <v>895</v>
      </c>
      <c r="E4" s="1935" t="s">
        <v>896</v>
      </c>
      <c r="F4" s="1933" t="s">
        <v>829</v>
      </c>
      <c r="G4" s="1935" t="s">
        <v>597</v>
      </c>
      <c r="H4" s="1928" t="s">
        <v>830</v>
      </c>
      <c r="I4" s="1928" t="s">
        <v>831</v>
      </c>
      <c r="J4" s="1928" t="s">
        <v>832</v>
      </c>
      <c r="K4" s="1930" t="s">
        <v>348</v>
      </c>
      <c r="L4" s="1931"/>
      <c r="M4" s="1931"/>
      <c r="N4" s="1932"/>
      <c r="O4" s="1930" t="s">
        <v>592</v>
      </c>
      <c r="P4" s="1931"/>
      <c r="Q4" s="1931"/>
      <c r="R4" s="1932"/>
    </row>
    <row r="5" spans="1:18" ht="27.75" customHeight="1" thickBot="1">
      <c r="A5" s="1934"/>
      <c r="B5" s="1934"/>
      <c r="C5" s="1934"/>
      <c r="D5" s="1934"/>
      <c r="E5" s="1934"/>
      <c r="F5" s="1934"/>
      <c r="G5" s="1934"/>
      <c r="H5" s="1929"/>
      <c r="I5" s="1929"/>
      <c r="J5" s="1929"/>
      <c r="K5" s="1143" t="s">
        <v>593</v>
      </c>
      <c r="L5" s="1143" t="s">
        <v>594</v>
      </c>
      <c r="M5" s="1143" t="s">
        <v>595</v>
      </c>
      <c r="N5" s="1143" t="s">
        <v>596</v>
      </c>
      <c r="O5" s="1144" t="s">
        <v>593</v>
      </c>
      <c r="P5" s="1143" t="s">
        <v>594</v>
      </c>
      <c r="Q5" s="1143" t="s">
        <v>595</v>
      </c>
      <c r="R5" s="1143" t="s">
        <v>596</v>
      </c>
    </row>
  </sheetData>
  <sheetProtection algorithmName="SHA-512" hashValue="G95mgrzXQL7Fe0G/goLvciaypRjThEGMf7JPwtWiCCElvj98ijx4NcWLawSSE6Q1EHHwVPhqWijPcUwJfh565A==" saltValue="E+OOwwCXqXiuIPBvyngz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t="s">
        <v>332</v>
      </c>
      <c r="BO1" s="32" t="s">
        <v>333</v>
      </c>
      <c r="BP1" s="31" t="s">
        <v>334</v>
      </c>
      <c r="BQ1" s="53" t="s">
        <v>336</v>
      </c>
      <c r="BR1" s="32" t="s">
        <v>342</v>
      </c>
      <c r="BS1" s="31" t="s">
        <v>343</v>
      </c>
      <c r="BT1" s="53" t="s">
        <v>344</v>
      </c>
      <c r="BU1" s="32" t="s">
        <v>358</v>
      </c>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349</v>
      </c>
      <c r="CF4" s="1829"/>
      <c r="CG4" s="1829"/>
      <c r="CH4" s="1830"/>
    </row>
    <row r="5" spans="1:155" ht="12.75" customHeight="1" thickBot="1">
      <c r="A5" s="1798" t="str">
        <f>"Año:  " &amp;Criterios!B5 &amp; "                  Trimestre   " &amp;Criterios!D5 &amp; " al " &amp;Criterios!D6</f>
        <v>Año:  2022                  Trimestre   3 al 3</v>
      </c>
      <c r="B5" s="1800" t="s">
        <v>515</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306</v>
      </c>
      <c r="AV5" s="1784" t="s">
        <v>304</v>
      </c>
      <c r="AW5" s="1784" t="s">
        <v>307</v>
      </c>
      <c r="AX5" s="1784" t="s">
        <v>305</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412</v>
      </c>
      <c r="BN5" s="1686" t="s">
        <v>262</v>
      </c>
      <c r="BO5" s="1687"/>
      <c r="BP5" s="1686" t="s">
        <v>263</v>
      </c>
      <c r="BQ5" s="1687"/>
      <c r="BR5" s="1686" t="s">
        <v>264</v>
      </c>
      <c r="BS5" s="1687"/>
      <c r="BT5" s="1686" t="s">
        <v>265</v>
      </c>
      <c r="BU5" s="1687"/>
      <c r="BV5" s="1839" t="s">
        <v>348</v>
      </c>
      <c r="BW5" s="1845" t="s">
        <v>326</v>
      </c>
      <c r="BX5" s="1845" t="s">
        <v>327</v>
      </c>
      <c r="BY5" s="1831" t="s">
        <v>335</v>
      </c>
      <c r="BZ5" s="1831" t="s">
        <v>461</v>
      </c>
      <c r="CA5" s="1759" t="s">
        <v>364</v>
      </c>
      <c r="CB5" s="1759" t="s">
        <v>355</v>
      </c>
      <c r="CC5" s="1759" t="s">
        <v>356</v>
      </c>
      <c r="CD5" s="1759" t="s">
        <v>357</v>
      </c>
      <c r="CE5" s="1771" t="s">
        <v>368</v>
      </c>
      <c r="CF5" s="1771" t="s">
        <v>347</v>
      </c>
      <c r="CG5" s="1771" t="s">
        <v>345</v>
      </c>
      <c r="CH5" s="1771" t="s">
        <v>346</v>
      </c>
      <c r="CI5" s="1753" t="s">
        <v>375</v>
      </c>
      <c r="CJ5" s="1753" t="s">
        <v>376</v>
      </c>
      <c r="CK5" s="1756" t="s">
        <v>546</v>
      </c>
      <c r="CL5" s="1756" t="s">
        <v>547</v>
      </c>
      <c r="CM5" s="1756" t="s">
        <v>585</v>
      </c>
      <c r="CN5" s="1772" t="s">
        <v>483</v>
      </c>
      <c r="CO5" s="1772" t="s">
        <v>476</v>
      </c>
      <c r="CP5" s="1772" t="s">
        <v>482</v>
      </c>
      <c r="CQ5" s="1775" t="s">
        <v>481</v>
      </c>
      <c r="CR5" s="1775" t="s">
        <v>481</v>
      </c>
      <c r="CS5" s="1771" t="s">
        <v>502</v>
      </c>
      <c r="CT5" s="1771" t="s">
        <v>505</v>
      </c>
      <c r="CU5" s="1771" t="s">
        <v>291</v>
      </c>
      <c r="CV5" s="1771" t="s">
        <v>404</v>
      </c>
      <c r="CW5" s="1771" t="s">
        <v>435</v>
      </c>
      <c r="CX5" s="1771" t="s">
        <v>446</v>
      </c>
      <c r="CY5" s="1771" t="s">
        <v>572</v>
      </c>
      <c r="CZ5" s="1771" t="s">
        <v>573</v>
      </c>
      <c r="DA5" s="1771" t="s">
        <v>574</v>
      </c>
      <c r="DB5" s="1768" t="s">
        <v>256</v>
      </c>
      <c r="DC5" s="1768" t="s">
        <v>257</v>
      </c>
      <c r="DD5" s="1768" t="s">
        <v>258</v>
      </c>
      <c r="DE5" s="1778" t="s">
        <v>229</v>
      </c>
      <c r="DF5" s="1778" t="s">
        <v>527</v>
      </c>
      <c r="DG5" s="1771" t="s">
        <v>587</v>
      </c>
      <c r="DH5" s="1756" t="s">
        <v>546</v>
      </c>
      <c r="DI5" s="1756" t="s">
        <v>547</v>
      </c>
      <c r="DJ5" s="1756" t="s">
        <v>584</v>
      </c>
      <c r="DK5" s="1756" t="s">
        <v>638</v>
      </c>
      <c r="DL5" s="1756" t="s">
        <v>642</v>
      </c>
      <c r="DM5" s="1848" t="s">
        <v>705</v>
      </c>
      <c r="DN5" s="1848" t="s">
        <v>706</v>
      </c>
      <c r="DO5" s="1848" t="s">
        <v>707</v>
      </c>
      <c r="DP5" s="1848" t="s">
        <v>708</v>
      </c>
      <c r="DQ5" s="1848" t="s">
        <v>709</v>
      </c>
      <c r="DR5" s="1848" t="s">
        <v>710</v>
      </c>
      <c r="DS5" s="1848" t="s">
        <v>711</v>
      </c>
      <c r="DT5" s="1848" t="s">
        <v>712</v>
      </c>
      <c r="DU5" s="1849" t="s">
        <v>713</v>
      </c>
      <c r="DV5" s="1861" t="s">
        <v>714</v>
      </c>
      <c r="DW5" s="1858" t="s">
        <v>715</v>
      </c>
      <c r="DX5" s="1848" t="s">
        <v>716</v>
      </c>
      <c r="DY5" s="1855" t="s">
        <v>717</v>
      </c>
      <c r="DZ5" s="1858" t="s">
        <v>718</v>
      </c>
      <c r="EA5" s="1855" t="s">
        <v>719</v>
      </c>
      <c r="EB5" s="1852" t="s">
        <v>779</v>
      </c>
      <c r="EC5" s="1852" t="s">
        <v>780</v>
      </c>
      <c r="ED5" s="1852" t="s">
        <v>781</v>
      </c>
      <c r="EE5" s="1852" t="s">
        <v>821</v>
      </c>
      <c r="EF5" s="1852" t="s">
        <v>825</v>
      </c>
      <c r="EG5" s="1855" t="s">
        <v>823</v>
      </c>
      <c r="EH5" s="1855" t="s">
        <v>824</v>
      </c>
      <c r="EI5" s="1855" t="s">
        <v>783</v>
      </c>
      <c r="EJ5" s="1855" t="s">
        <v>784</v>
      </c>
      <c r="EK5" s="1867" t="s">
        <v>872</v>
      </c>
      <c r="EL5" s="1870" t="s">
        <v>890</v>
      </c>
      <c r="EM5" s="1871"/>
      <c r="EN5" s="1872"/>
      <c r="EO5" s="1768" t="s">
        <v>990</v>
      </c>
      <c r="EP5" s="1768" t="s">
        <v>992</v>
      </c>
      <c r="EQ5" s="1768" t="s">
        <v>993</v>
      </c>
      <c r="ER5" s="1768" t="s">
        <v>1006</v>
      </c>
      <c r="ES5" s="1768" t="s">
        <v>1008</v>
      </c>
      <c r="ET5" s="1864" t="s">
        <v>1088</v>
      </c>
      <c r="EU5" s="1864" t="s">
        <v>1089</v>
      </c>
      <c r="EV5" s="1765" t="s">
        <v>1110</v>
      </c>
      <c r="EW5" s="1765" t="s">
        <v>1116</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989</v>
      </c>
      <c r="B7" s="1802"/>
      <c r="C7" s="1805"/>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891</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 t="s">
        <v>997</v>
      </c>
      <c r="ER8" s="53" t="s">
        <v>1007</v>
      </c>
      <c r="ES8" s="532" t="s">
        <v>1009</v>
      </c>
      <c r="ET8" s="1519" t="s">
        <v>1090</v>
      </c>
      <c r="EU8" s="1519" t="s">
        <v>1091</v>
      </c>
      <c r="EV8" s="165" t="s">
        <v>1099</v>
      </c>
      <c r="EW8" s="165">
        <v>153</v>
      </c>
      <c r="EX8" s="532" t="s">
        <v>1145</v>
      </c>
      <c r="EY8" s="532" t="s">
        <v>1158</v>
      </c>
    </row>
    <row r="9" spans="1:155" ht="14.25" customHeight="1">
      <c r="A9" s="20" t="s">
        <v>72</v>
      </c>
      <c r="B9" s="21" t="s">
        <v>518</v>
      </c>
      <c r="C9" s="22" t="s">
        <v>8</v>
      </c>
      <c r="D9" s="23" t="s">
        <v>25</v>
      </c>
      <c r="E9" s="21" t="s">
        <v>26</v>
      </c>
      <c r="F9" s="21">
        <v>32</v>
      </c>
      <c r="G9" s="6"/>
      <c r="H9" s="146" t="s">
        <v>319</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523</v>
      </c>
      <c r="B20" s="21" t="s">
        <v>518</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518</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ksuJXoC6IAKXcWs6RNR4BoWsCHq9wDBQzJclywMJwKeXq5mIKOMNysF/NFQXpaCu51VrhC4gR4qqLl7k+eSLA==" saltValue="DpQBwtYbDspPBaOULzuHh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CEUTA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464</v>
      </c>
      <c r="B5" s="297"/>
      <c r="C5" s="1646" t="str">
        <f>"Año:  " &amp;Criterios!B$5 &amp; "          Trimestre   " &amp;Criterios!D$5 &amp; " al " &amp;Criterios!D$6</f>
        <v>Año:  2022          Trimestre   3 al 3</v>
      </c>
      <c r="D5" s="1882" t="s">
        <v>490</v>
      </c>
      <c r="E5" s="1882" t="s">
        <v>748</v>
      </c>
      <c r="F5" s="1893" t="s">
        <v>526</v>
      </c>
      <c r="G5" s="1882" t="s">
        <v>173</v>
      </c>
      <c r="H5" s="1882" t="s">
        <v>781</v>
      </c>
      <c r="I5" s="1882" t="s">
        <v>749</v>
      </c>
      <c r="J5" s="1882" t="s">
        <v>866</v>
      </c>
      <c r="K5" s="1882" t="s">
        <v>750</v>
      </c>
      <c r="L5" s="1882" t="s">
        <v>705</v>
      </c>
      <c r="M5" s="1885" t="s">
        <v>779</v>
      </c>
      <c r="N5" s="1882" t="s">
        <v>923</v>
      </c>
      <c r="O5" s="1882" t="s">
        <v>882</v>
      </c>
      <c r="P5" s="1882" t="s">
        <v>229</v>
      </c>
      <c r="Q5" s="1888" t="s">
        <v>878</v>
      </c>
      <c r="R5" s="1888" t="s">
        <v>924</v>
      </c>
      <c r="S5" s="1882" t="s">
        <v>782</v>
      </c>
      <c r="T5" s="1888" t="s">
        <v>751</v>
      </c>
      <c r="U5" s="1888" t="s">
        <v>1034</v>
      </c>
      <c r="V5" s="1888" t="s">
        <v>1035</v>
      </c>
      <c r="W5" s="1899" t="s">
        <v>807</v>
      </c>
      <c r="X5" s="1917" t="s">
        <v>752</v>
      </c>
      <c r="Y5" s="1899" t="s">
        <v>753</v>
      </c>
      <c r="Z5" s="1899" t="s">
        <v>754</v>
      </c>
      <c r="AA5" s="1882" t="s">
        <v>883</v>
      </c>
      <c r="AB5" s="1882" t="s">
        <v>889</v>
      </c>
      <c r="AC5" s="1882" t="s">
        <v>243</v>
      </c>
      <c r="AD5" s="1905" t="s">
        <v>241</v>
      </c>
      <c r="AE5" s="1882" t="s">
        <v>884</v>
      </c>
      <c r="AF5" s="1908" t="s">
        <v>885</v>
      </c>
      <c r="AG5" s="1911" t="s">
        <v>714</v>
      </c>
      <c r="AH5" s="1882" t="s">
        <v>715</v>
      </c>
      <c r="AI5" s="1882" t="s">
        <v>805</v>
      </c>
      <c r="AJ5" s="1914" t="s">
        <v>806</v>
      </c>
      <c r="AK5" s="1911" t="s">
        <v>244</v>
      </c>
      <c r="AL5" s="1882" t="s">
        <v>758</v>
      </c>
      <c r="AM5" s="1882" t="s">
        <v>321</v>
      </c>
      <c r="AN5" s="1882" t="s">
        <v>322</v>
      </c>
      <c r="AO5" s="1882" t="s">
        <v>323</v>
      </c>
      <c r="AP5" s="1882" t="s">
        <v>759</v>
      </c>
      <c r="AQ5" s="1882" t="s">
        <v>324</v>
      </c>
      <c r="AR5" s="1882" t="s">
        <v>760</v>
      </c>
      <c r="AS5" s="1882" t="s">
        <v>761</v>
      </c>
      <c r="AT5" s="1882" t="s">
        <v>762</v>
      </c>
      <c r="AU5" s="1882" t="s">
        <v>790</v>
      </c>
      <c r="AV5" s="1882" t="s">
        <v>783</v>
      </c>
      <c r="AW5" s="1882" t="s">
        <v>1111</v>
      </c>
      <c r="AX5" s="1882" t="s">
        <v>1115</v>
      </c>
      <c r="AY5" s="1882" t="s">
        <v>1117</v>
      </c>
      <c r="AZ5" s="1882" t="s">
        <v>784</v>
      </c>
      <c r="BA5" s="1882" t="s">
        <v>1159</v>
      </c>
      <c r="BB5" s="1882" t="s">
        <v>763</v>
      </c>
      <c r="BC5" s="1882" t="s">
        <v>713</v>
      </c>
      <c r="BW5" s="1882" t="s">
        <v>1036</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320</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320</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320</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320</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320</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0.29763387297633875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510</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510</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510</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510</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510</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510</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510</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511</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512</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512</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340</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341</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0.21045892989238466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545</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338</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339</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QxW5E7SlkyMWwdyQNtAO42RhoGd8o6gZw0bsr7Cv1ROUG/R4ctRRupIDSXGdT2WhQYO4datqCUvl0Wg17tDHw==" saltValue="HMocmbC9a3z7i5WDHF7/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1084</v>
      </c>
    </row>
    <row r="3" spans="2:5" ht="16.5" customHeight="1" thickBot="1">
      <c r="B3" s="1518" t="s">
        <v>1085</v>
      </c>
      <c r="C3" s="1518" t="s">
        <v>1086</v>
      </c>
      <c r="D3" s="1518" t="s">
        <v>1087</v>
      </c>
      <c r="E3" s="1527" t="s">
        <v>1092</v>
      </c>
    </row>
  </sheetData>
  <sheetProtection algorithmName="SHA-512" hashValue="51WIswxWsXK2wDHc10ARtg1lntIkqbCUZxVCXNsy1VSXyeCGghva7dTE0K0B4Cl1vcYYNROp7nKBuVDMMBXjLw==" saltValue="8RDx2TpwxNKSrWFJkLmX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CEUTA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995</v>
      </c>
      <c r="L5" s="1572" t="s">
        <v>1058</v>
      </c>
      <c r="M5" s="1572" t="s">
        <v>1147</v>
      </c>
      <c r="N5" s="1575" t="s">
        <v>994</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989</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27</v>
      </c>
      <c r="D10" s="452">
        <f>IF(ISNUMBER(C10/Datos!BH10),C10/Datos!BH10," - ")</f>
        <v>27</v>
      </c>
      <c r="E10" s="451">
        <f>IF(ISNUMBER(Datos!J10),Datos!J10," - ")</f>
        <v>8</v>
      </c>
      <c r="F10" s="452">
        <f>IF(ISNUMBER(E10/B10),E10/B10," - ")</f>
        <v>8</v>
      </c>
      <c r="G10" s="451">
        <f>IF(ISNUMBER(Datos!K10),Datos!K10," - ")</f>
        <v>6</v>
      </c>
      <c r="H10" s="452">
        <f>IF(ISNUMBER(G10/B10),G10/B10," - ")</f>
        <v>6</v>
      </c>
      <c r="I10" s="451">
        <f>IF(ISNUMBER(Datos!L10),Datos!L10," - ")</f>
        <v>29</v>
      </c>
      <c r="J10" s="452">
        <f>IF(ISNUMBER(I10/B10),I10/B10," - ")</f>
        <v>29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1760</v>
      </c>
      <c r="D12" s="452">
        <f>IF(ISNUMBER(C12/Datos!BH12),C12/Datos!BH12," - ")</f>
        <v>293.33333333333331</v>
      </c>
      <c r="E12" s="451">
        <f>IF(ISNUMBER(IF(J_V="SI",Datos!J12,Datos!J12+Datos!Z12)),IF(J_V="SI",Datos!J12,Datos!J12+Datos!Z12)," - ")</f>
        <v>858</v>
      </c>
      <c r="F12" s="452">
        <f>IF(ISNUMBER(E12/B12),E12/B12," - ")</f>
        <v>143</v>
      </c>
      <c r="G12" s="451">
        <f>IF(ISNUMBER(IF(J_V="SI",Datos!K12,Datos!K12+Datos!AA12)),IF(J_V="SI",Datos!K12,Datos!K12+Datos!AA12)," - ")</f>
        <v>797</v>
      </c>
      <c r="H12" s="452">
        <f>IF(ISNUMBER(G12/B12),G12/B12," - ")</f>
        <v>132.83333333333334</v>
      </c>
      <c r="I12" s="451">
        <f>IF(ISNUMBER(IF(J_V="SI",Datos!L12,Datos!L12+Datos!AB12)),IF(J_V="SI",Datos!L12,Datos!L12+Datos!AB12)," - ")</f>
        <v>1707</v>
      </c>
      <c r="J12" s="452">
        <f>IF(ISNUMBER(I12/B12),I12/B12," - ")</f>
        <v>284.5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1787</v>
      </c>
      <c r="D14" s="1147" t="str">
        <f>IF(ISNUMBER(C14/Datos!BI14),C14/Datos!BI14," - ")</f>
        <v xml:space="preserve"> - </v>
      </c>
      <c r="E14" s="1146">
        <f>SUBTOTAL(9,E8:E13)</f>
        <v>866</v>
      </c>
      <c r="F14" s="1147">
        <f>IF(ISNUMBER(E14/B14),E14/B14," - ")</f>
        <v>144.33333333333334</v>
      </c>
      <c r="G14" s="1146">
        <f>SUBTOTAL(9,G8:G13)</f>
        <v>803</v>
      </c>
      <c r="H14" s="1147">
        <f>IF(ISNUMBER(G14/B14),G14/B14," - ")</f>
        <v>133.83333333333334</v>
      </c>
      <c r="I14" s="1146">
        <f>SUBTOTAL(9,I8:I13)</f>
        <v>1736</v>
      </c>
      <c r="J14" s="1147">
        <f>IF(ISNUMBER(I14/B14),I14/B14," - ")</f>
        <v>289.33333333333331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550</v>
      </c>
      <c r="D17" s="452">
        <f>IF(ISNUMBER(C17/Datos!BH17),C17/Datos!BH17," - ")</f>
        <v>91.666666666666671</v>
      </c>
      <c r="E17" s="451">
        <f>IF(ISNUMBER(IF(D_I="SI",Datos!J17,Datos!J17+Datos!AD17)),IF(D_I="SI",Datos!J17,Datos!J17+Datos!AD17)," - ")</f>
        <v>1637</v>
      </c>
      <c r="F17" s="452">
        <f>IF(ISNUMBER(E17/B17),E17/B17," - ")</f>
        <v>272.83333333333331</v>
      </c>
      <c r="G17" s="451">
        <f>IF(ISNUMBER(IF(D_I="SI",Datos!K17,Datos!K17+Datos!AE17)),IF(D_I="SI",Datos!K17,Datos!K17+Datos!AE17)," - ")</f>
        <v>1536</v>
      </c>
      <c r="H17" s="452">
        <f>IF(ISNUMBER(G17/B17),G17/B17," - ")</f>
        <v>256</v>
      </c>
      <c r="I17" s="451">
        <f>IF(ISNUMBER(IF(D_I="SI",Datos!L17,Datos!L17+Datos!AF17)),IF(D_I="SI",Datos!L17,Datos!L17+Datos!AF17)," - ")</f>
        <v>659</v>
      </c>
      <c r="J17" s="452">
        <f>IF(ISNUMBER(I17/B17),I17/B17," - ")</f>
        <v>109.83333333333333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64</v>
      </c>
      <c r="D18" s="452">
        <f>IF(ISNUMBER(C18/Datos!BH18),C18/Datos!BH18," - ")</f>
        <v>64</v>
      </c>
      <c r="E18" s="451">
        <f>IF(ISNUMBER(IF(D_I="SI",Datos!J18,Datos!J18+Datos!AD18)),IF(D_I="SI",Datos!J18,Datos!J18+Datos!AD18)," - ")</f>
        <v>127</v>
      </c>
      <c r="F18" s="452">
        <f>IF(ISNUMBER(E18/B18),E18/B18," - ")</f>
        <v>127</v>
      </c>
      <c r="G18" s="451">
        <f>IF(ISNUMBER(IF(D_I="SI",Datos!K18,Datos!K18+Datos!AE18)),IF(D_I="SI",Datos!K18,Datos!K18+Datos!AE18)," - ")</f>
        <v>109</v>
      </c>
      <c r="H18" s="452">
        <f>IF(ISNUMBER(G18/B18),G18/B18," - ")</f>
        <v>109</v>
      </c>
      <c r="I18" s="451">
        <f>IF(ISNUMBER(IF(D_I="SI",Datos!L18,Datos!L18+Datos!AF18)),IF(D_I="SI",Datos!L18,Datos!L18+Datos!AF18)," - ")</f>
        <v>82</v>
      </c>
      <c r="J18" s="452">
        <f>IF(ISNUMBER(I18/B18),I18/B18," - ")</f>
        <v>82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1</v>
      </c>
      <c r="C21" s="451">
        <f>IF(ISNUMBER(Datos!I21),Datos!I21," - ")</f>
        <v>0</v>
      </c>
      <c r="D21" s="452">
        <f>IF(ISNUMBER(C21/Datos!BH21),C21/Datos!BH21," - ")</f>
        <v>0</v>
      </c>
      <c r="E21" s="451">
        <f>IF(ISNUMBER(Datos!J21),Datos!J21," - ")</f>
        <v>0</v>
      </c>
      <c r="F21" s="452">
        <f>IF(ISNUMBER(E21/B21),E21/B21," - ")</f>
        <v>0</v>
      </c>
      <c r="G21" s="451">
        <f>IF(ISNUMBER(Datos!K21),Datos!K21," - ")</f>
        <v>0</v>
      </c>
      <c r="H21" s="452">
        <f>IF(ISNUMBER(G21/B21),G21/B21," - ")</f>
        <v>0</v>
      </c>
      <c r="I21" s="451">
        <f>IF(ISNUMBER(Datos!L21),Datos!L21," - ")</f>
        <v>0</v>
      </c>
      <c r="J21" s="452">
        <f>IF(ISNUMBER(I21/B21),I21/B21," - ")</f>
        <v>0</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614</v>
      </c>
      <c r="D23" s="1147" t="str">
        <f>IF(ISNUMBER(C23/Datos!BI23),C23/Datos!BI23," - ")</f>
        <v xml:space="preserve"> - </v>
      </c>
      <c r="E23" s="1146">
        <f>SUBTOTAL(9,E15:E22)</f>
        <v>1764</v>
      </c>
      <c r="F23" s="1147">
        <f>IF(ISNUMBER(E23/B23),E23/B23," - ")</f>
        <v>294</v>
      </c>
      <c r="G23" s="1146">
        <f>SUBTOTAL(9,G15:G22)</f>
        <v>1645</v>
      </c>
      <c r="H23" s="1147">
        <f>IF(ISNUMBER(G23/B23),G23/B23," - ")</f>
        <v>274.16666666666669</v>
      </c>
      <c r="I23" s="1146">
        <f>SUBTOTAL(9,I15:I22)</f>
        <v>741</v>
      </c>
      <c r="J23" s="1147">
        <f>IF(ISNUMBER(I23/B23),I23/B23," - ")</f>
        <v>123.5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2401</v>
      </c>
      <c r="D31" s="1085" t="str">
        <f>IF(ISNUMBER(C31/Datos!BI31),C31/Datos!BI31," - ")</f>
        <v xml:space="preserve"> - </v>
      </c>
      <c r="E31" s="1084">
        <f>SUBTOTAL(9,E9:E30)</f>
        <v>2630</v>
      </c>
      <c r="F31" s="1085">
        <f>IF(ISNUMBER(E31/B31),E31/B31," - ")</f>
        <v>438.33333333333331</v>
      </c>
      <c r="G31" s="1084">
        <f>SUBTOTAL(9,G9:G30)</f>
        <v>2448</v>
      </c>
      <c r="H31" s="1085">
        <f>IF(ISNUMBER(G31/B31),G31/B31," - ")</f>
        <v>408</v>
      </c>
      <c r="I31" s="1084">
        <f>SUBTOTAL(9,I9:I30)</f>
        <v>2477</v>
      </c>
      <c r="J31" s="1085">
        <f>IF(ISNUMBER(I31/B31),I31/B31," - ")</f>
        <v>412.83333333333331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T14rlhB241fcRv63v6tIBTAvsDpA1bFRsPkzqgKjxX1pGvsEAKkthF+6dla9ObAoX1sq6Ln25r7PXjzA2POMw==" saltValue="VnK8QBtK2QavX1fxtatkw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CEUTA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464</v>
      </c>
      <c r="B5" s="297"/>
      <c r="C5" s="1646" t="str">
        <f>"Año:  " &amp;Criterios!B$5 &amp; "          Trimestre   " &amp;Criterios!D$5 &amp; " al " &amp;Criterios!D$6</f>
        <v>Año:  2022          Trimestre   3 al 3</v>
      </c>
      <c r="D5" s="1882" t="s">
        <v>545</v>
      </c>
      <c r="E5" s="1882" t="s">
        <v>748</v>
      </c>
      <c r="F5" s="1893" t="s">
        <v>526</v>
      </c>
      <c r="G5" s="1882" t="s">
        <v>173</v>
      </c>
      <c r="H5" s="1882" t="s">
        <v>897</v>
      </c>
      <c r="I5" s="1882" t="s">
        <v>898</v>
      </c>
      <c r="J5" s="1882" t="s">
        <v>901</v>
      </c>
      <c r="K5" s="1882" t="s">
        <v>902</v>
      </c>
      <c r="L5" s="1882" t="s">
        <v>779</v>
      </c>
      <c r="M5" s="1882" t="s">
        <v>923</v>
      </c>
      <c r="N5" s="1882" t="s">
        <v>903</v>
      </c>
      <c r="O5" s="1882" t="s">
        <v>899</v>
      </c>
      <c r="P5" s="1882" t="s">
        <v>229</v>
      </c>
      <c r="Q5" s="1882" t="s">
        <v>878</v>
      </c>
      <c r="R5" s="1882" t="s">
        <v>924</v>
      </c>
      <c r="S5" s="1882" t="str">
        <f>"Ingreso Computable 2003" &amp; IF(OR(EXACT(LEFT(boletin,2),"04"),EXACT(LEFT(boletin,2),"14"),EXACT(LEFT(boletin,2),"17"))," (Civil + Penal)","")</f>
        <v>Ingreso Computable 2003</v>
      </c>
      <c r="T5" s="1882" t="s">
        <v>900</v>
      </c>
      <c r="U5" s="1888" t="str">
        <f>"% Ingreso Computable 2003" &amp; IF(OR(EXACT(LEFT(boletin,2),"04"),EXACT(LEFT(boletin,2),"14"),EXACT(LEFT(boletin,2),"17"))," (Civil + Penal)","")</f>
        <v>% Ingreso Computable 2003</v>
      </c>
      <c r="V5" s="1888" t="s">
        <v>904</v>
      </c>
      <c r="W5" s="1882" t="s">
        <v>1028</v>
      </c>
      <c r="X5" s="1882" t="s">
        <v>1029</v>
      </c>
      <c r="Y5" s="1902" t="s">
        <v>869</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905</v>
      </c>
      <c r="AC5" s="1939" t="s">
        <v>906</v>
      </c>
      <c r="AD5" s="1939" t="s">
        <v>907</v>
      </c>
      <c r="AE5" s="1939" t="s">
        <v>908</v>
      </c>
      <c r="AF5" s="1882" t="s">
        <v>909</v>
      </c>
      <c r="AG5" s="1882" t="s">
        <v>910</v>
      </c>
      <c r="AH5" s="1882" t="s">
        <v>911</v>
      </c>
      <c r="AI5" s="1882" t="s">
        <v>912</v>
      </c>
      <c r="AJ5" s="1882" t="s">
        <v>243</v>
      </c>
      <c r="AK5" s="1911" t="s">
        <v>714</v>
      </c>
      <c r="AL5" s="1911" t="s">
        <v>244</v>
      </c>
      <c r="AM5" s="1882" t="s">
        <v>758</v>
      </c>
      <c r="AN5" s="1882" t="s">
        <v>321</v>
      </c>
      <c r="AO5" s="1882" t="s">
        <v>322</v>
      </c>
      <c r="AP5" s="1882" t="s">
        <v>913</v>
      </c>
      <c r="AQ5" s="1882" t="s">
        <v>914</v>
      </c>
      <c r="AR5" s="1882" t="s">
        <v>915</v>
      </c>
      <c r="AS5" s="1882" t="s">
        <v>916</v>
      </c>
      <c r="AT5" s="1882" t="s">
        <v>917</v>
      </c>
      <c r="AU5" s="1882" t="s">
        <v>918</v>
      </c>
      <c r="AV5" s="1882" t="s">
        <v>919</v>
      </c>
      <c r="AW5" s="1882" t="s">
        <v>920</v>
      </c>
      <c r="AX5" s="1882" t="s">
        <v>1111</v>
      </c>
      <c r="AY5" s="1882" t="s">
        <v>1115</v>
      </c>
      <c r="AZ5" s="1882" t="s">
        <v>921</v>
      </c>
      <c r="BA5" s="1882" t="s">
        <v>922</v>
      </c>
      <c r="BB5" s="1882" t="s">
        <v>713</v>
      </c>
      <c r="BC5" s="1708" t="s">
        <v>929</v>
      </c>
      <c r="BD5" s="1708" t="s">
        <v>930</v>
      </c>
      <c r="BE5" s="1893" t="s">
        <v>931</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320</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320</v>
      </c>
      <c r="C10" s="747" t="str">
        <f>Datos!A10</f>
        <v>Jdos. Violencia contra la mujer</v>
      </c>
      <c r="D10" s="601"/>
      <c r="E10" s="904">
        <f>IF(ISNUMBER(Datos!AQ10),Datos!AQ10," - ")</f>
        <v>0</v>
      </c>
      <c r="F10" s="905">
        <f>IF(ISNUMBER(Datos!L10+Datos!K10-Datos!J10),Datos!L10+Datos!K10-Datos!J10," - ")</f>
        <v>27</v>
      </c>
      <c r="G10" s="906">
        <f>IF(ISNUMBER(Datos!I10),Datos!I10," - ")</f>
        <v>27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29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9.6666666666666661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320</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320</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4045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234</v>
      </c>
      <c r="AM12" s="914">
        <f>IF(ISNUMBER(Datos!N12+DatosP!N17),Datos!N12+DatosP!N17," - ")</f>
        <v>295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4.2835633626097867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2.3791445203745886E-2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320</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27</v>
      </c>
      <c r="G14" s="1256">
        <f t="shared" si="0"/>
        <v>27</v>
      </c>
      <c r="H14" s="1256">
        <f t="shared" si="0"/>
        <v>0</v>
      </c>
      <c r="I14" s="1258">
        <f t="shared" si="0"/>
        <v>0</v>
      </c>
      <c r="J14" s="1257">
        <f t="shared" si="0"/>
        <v>0</v>
      </c>
      <c r="K14" s="1257">
        <f t="shared" si="0"/>
        <v>0</v>
      </c>
      <c r="L14" s="1259">
        <f t="shared" si="0"/>
        <v>0</v>
      </c>
      <c r="M14" s="1259">
        <f t="shared" si="0"/>
        <v>0</v>
      </c>
      <c r="N14" s="1257">
        <f t="shared" si="0"/>
        <v>207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110</v>
      </c>
      <c r="AE14" s="1257">
        <f t="shared" si="1"/>
        <v>0</v>
      </c>
      <c r="AF14" s="1257">
        <f t="shared" si="1"/>
        <v>29</v>
      </c>
      <c r="AG14" s="1257">
        <f t="shared" si="1"/>
        <v>0</v>
      </c>
      <c r="AH14" s="1257">
        <f t="shared" si="1"/>
        <v>4045</v>
      </c>
      <c r="AI14" s="1257">
        <f t="shared" si="1"/>
        <v>0</v>
      </c>
      <c r="AJ14" s="1257">
        <f t="shared" si="1"/>
        <v>0</v>
      </c>
      <c r="AK14" s="1257">
        <f t="shared" si="1"/>
        <v>0</v>
      </c>
      <c r="AL14" s="1257">
        <f t="shared" si="1"/>
        <v>239</v>
      </c>
      <c r="AM14" s="1257">
        <f t="shared" si="1"/>
        <v>295</v>
      </c>
      <c r="AN14" s="1257">
        <f t="shared" si="1"/>
        <v>0</v>
      </c>
      <c r="AO14" s="1257">
        <f t="shared" si="1"/>
        <v>0</v>
      </c>
      <c r="AP14" s="1262">
        <f>IF(ISNUMBER(((Datos!L14/Datos!K14)*11)/factor_trimestre),((Datos!L14/Datos!K14)*11)/factor_trimestre," - ")</f>
        <v>4.8011444921316162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-0.22222222222222221</v>
      </c>
      <c r="AU14" s="1257" t="str">
        <f>IF(ISNUMBER((DatosP!#REF!-DatosP!#REF!+DatosP!#REF!)/(DatosP!#REF!+DatosP!#REF!-DatosP!#REF!-DatosP!#REF!)),(DatosP!#REF!-DatosP!#REF!+DatosP!#REF!)/(DatosP!#REF!+DatosP!#REF!-DatosP!#REF!-DatosP!#REF!)," - ")</f>
        <v xml:space="preserve"> - </v>
      </c>
      <c r="AV14" s="1263">
        <f>SUBTOTAL(9,AV9:AV13)</f>
        <v>2.3791445203745886E-2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510</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510</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510</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510</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510</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1</v>
      </c>
      <c r="B21" s="746" t="s">
        <v>510</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510</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0.90091185410334351</v>
      </c>
      <c r="AQ23" s="1262">
        <f>IF(ISNUMBER(((Datos!M23/Datos!L23)*11)/factor_trimestre),((Datos!M23/Datos!L23)*11)/factor_trimestre," - ")</f>
        <v>0.41835357624831304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0.13793103448275862</v>
      </c>
      <c r="AW23" s="1265">
        <f>IF(ISNUMBER((Datos!Q23-Datos!R23)/(Datos!S23-Datos!Q23+Datos!R23)),(Datos!Q23-Datos!R23)/(Datos!S23-Datos!Q23+Datos!R23)," - ")</f>
        <v>-0.15092165898617513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764</v>
      </c>
      <c r="B25" s="600" t="s">
        <v>511</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512</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512</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27</v>
      </c>
      <c r="G31" s="1278">
        <f t="shared" si="8"/>
        <v>27</v>
      </c>
      <c r="H31" s="1278">
        <f t="shared" si="8"/>
        <v>0</v>
      </c>
      <c r="I31" s="1279">
        <f t="shared" si="8"/>
        <v>0</v>
      </c>
      <c r="J31" s="1280">
        <f t="shared" si="8"/>
        <v>0</v>
      </c>
      <c r="K31" s="1280">
        <f t="shared" si="8"/>
        <v>0</v>
      </c>
      <c r="L31" s="1280">
        <f t="shared" si="8"/>
        <v>0</v>
      </c>
      <c r="M31" s="1280">
        <f t="shared" si="8"/>
        <v>0</v>
      </c>
      <c r="N31" s="1279">
        <f t="shared" si="8"/>
        <v>207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110</v>
      </c>
      <c r="AE31" s="1284">
        <f t="shared" si="9"/>
        <v>0</v>
      </c>
      <c r="AF31" s="1285">
        <f t="shared" si="9"/>
        <v>29</v>
      </c>
      <c r="AG31" s="1285">
        <f t="shared" si="9"/>
        <v>0</v>
      </c>
      <c r="AH31" s="1285">
        <f t="shared" si="9"/>
        <v>4045</v>
      </c>
      <c r="AI31" s="1285">
        <f t="shared" si="9"/>
        <v>0</v>
      </c>
      <c r="AJ31" s="1286">
        <f t="shared" si="9"/>
        <v>0</v>
      </c>
      <c r="AK31" s="1286">
        <f t="shared" si="9"/>
        <v>0</v>
      </c>
      <c r="AL31" s="1278">
        <f t="shared" si="9"/>
        <v>239</v>
      </c>
      <c r="AM31" s="1278">
        <f t="shared" si="9"/>
        <v>295</v>
      </c>
      <c r="AN31" s="1278">
        <f t="shared" si="9"/>
        <v>0</v>
      </c>
      <c r="AO31" s="1278">
        <f t="shared" si="9"/>
        <v>0</v>
      </c>
      <c r="AP31" s="1278">
        <f>IF(ISNUMBER(((Datos!L31/Datos!K31)*11)/factor_trimestre),((Datos!L31/Datos!K31)*11)/factor_trimestre," - ")</f>
        <v>2.0639931740614332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-0.22222222222222221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2.8230713068873207E-2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340</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341</v>
      </c>
      <c r="D33" s="1004"/>
      <c r="E33" s="1005">
        <f>IF(ISNUMBER(STDEV(E8:E30)),STDEV(E8:E30),"-")</f>
        <v>2.6457513110645907</v>
      </c>
      <c r="F33" s="1006">
        <f>IF(ISNUMBER(STDEV(F8:F30)),STDEV(F8:F30),"-")</f>
        <v>14.788509052639485</v>
      </c>
      <c r="G33" s="1007">
        <f>IF(ISNUMBER(STDEV(G8:G30)),STDEV(G8:G30),"-")</f>
        <v>14.788509052639485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121.50829875636754</v>
      </c>
      <c r="AM33" s="1006"/>
      <c r="AN33" s="1006">
        <f>IF(ISNUMBER(STDEV(AN8:AN30)),STDEV(AN8:AN30),"-")</f>
        <v>0</v>
      </c>
      <c r="AO33" s="1012">
        <f>IF(ISNUMBER(STDEV(AO8:AO30)),STDEV(AO8:AO30),"-")</f>
        <v>0</v>
      </c>
      <c r="AP33" s="1065">
        <f>IF(ISNUMBER(STDEV(AP8:AP30)),STDEV(AP8:AP30),"-")</f>
        <v>3.6103047047236467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545</v>
      </c>
      <c r="AU34" s="1022" t="s">
        <v>545</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338</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339</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2l/EQJ8WFol+rSGD6v/sa6Iv7hNp3D8mEL/2yc5zcT6rfdRvNovCLW8asCCT/CPiGb1FoNFjiU0IrpDDP0t0Q==" saltValue="s4C6dbRY7ArngLnzroEx2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CEUTA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f>IF(ISNUMBER(E21/Datos!BH21),E21/Datos!BH21," - ")</f>
        <v>0</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nbMEjtXN/3Wm/ZxZyJHK2218/NWpcwgSC+yLEjSDhC5zaQA2oAyCJUfxVA0YzaQzhyHUP6VUH/sIFSlcwL1xw==" saltValue="3TdbTBC0KTtV6Io+yKnCv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CEUTA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298</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299</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234</v>
      </c>
      <c r="E12" s="452">
        <f t="shared" si="0"/>
        <v>39</v>
      </c>
      <c r="F12" s="451">
        <f>IF(ISNUMBER(Datos!N12),Datos!N12," - ")</f>
        <v>295</v>
      </c>
      <c r="G12" s="452">
        <f t="shared" si="1"/>
        <v>49.166666666666664</v>
      </c>
      <c r="H12" s="451">
        <f>IF(ISNUMBER(Datos!O12),Datos!O12," - ")</f>
        <v>193</v>
      </c>
      <c r="I12" s="452">
        <f t="shared" si="2"/>
        <v>32.166666666666664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239</v>
      </c>
      <c r="E14" s="1147">
        <f t="shared" si="0"/>
        <v>34.142857142857146</v>
      </c>
      <c r="F14" s="1146">
        <f>SUBTOTAL(9,F9:F13)</f>
        <v>295</v>
      </c>
      <c r="G14" s="1147">
        <f t="shared" si="1"/>
        <v>42.142857142857146</v>
      </c>
      <c r="H14" s="1146">
        <f>SUBTOTAL(9,H9:H13)</f>
        <v>193</v>
      </c>
      <c r="I14" s="1147">
        <f>IF(ISNUMBER(H14/B14),H14/B14," - ")</f>
        <v>27.571428571428573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143</v>
      </c>
      <c r="E17" s="452">
        <f t="shared" si="3"/>
        <v>23.833333333333332</v>
      </c>
      <c r="F17" s="451">
        <f>IF(ISNUMBER(Datos!N17),Datos!N17," - ")</f>
        <v>1083</v>
      </c>
      <c r="G17" s="452">
        <f t="shared" si="4"/>
        <v>180.5</v>
      </c>
      <c r="H17" s="451">
        <f>IF(ISNUMBER(Datos!O17),Datos!O17," - ")</f>
        <v>5</v>
      </c>
      <c r="I17" s="452">
        <f t="shared" si="5"/>
        <v>0.83333333333333337</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40</v>
      </c>
      <c r="G18" s="452">
        <f>IF(ISNUMBER(F18/B18),F18/B18," - ")</f>
        <v>40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1</v>
      </c>
      <c r="C21" s="481">
        <f>Datos!AQ21</f>
        <v>0</v>
      </c>
      <c r="D21" s="451">
        <f>IF(ISNUMBER(Datos!M21),Datos!M21," - ")</f>
        <v>0</v>
      </c>
      <c r="E21" s="452">
        <f t="shared" si="3"/>
        <v>0</v>
      </c>
      <c r="F21" s="451">
        <f>IF(ISNUMBER(Datos!N21),Datos!N21," - ")</f>
        <v>0</v>
      </c>
      <c r="G21" s="452">
        <f t="shared" si="4"/>
        <v>0</v>
      </c>
      <c r="H21" s="451">
        <f>IF(ISNUMBER(Datos!O21),Datos!O21," - ")</f>
        <v>0</v>
      </c>
      <c r="I21" s="452">
        <f t="shared" si="5"/>
        <v>0</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6</v>
      </c>
      <c r="D23" s="1146">
        <f>SUBTOTAL(9,D16:D22)</f>
        <v>155</v>
      </c>
      <c r="E23" s="1147">
        <f t="shared" si="3"/>
        <v>19.375</v>
      </c>
      <c r="F23" s="1146">
        <f>SUBTOTAL(9,F16:F22)</f>
        <v>1123</v>
      </c>
      <c r="G23" s="1147">
        <f t="shared" si="4"/>
        <v>140.375</v>
      </c>
      <c r="H23" s="1146">
        <f>SUBTOTAL(9,H16:H22)</f>
        <v>5</v>
      </c>
      <c r="I23" s="1147">
        <f>IF(ISNUMBER(H23/B23),H23/B23," - ")</f>
        <v>0.625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394</v>
      </c>
      <c r="E31" s="1085">
        <f>IF(ISNUMBER(D31/B31),D31/B31," - ")</f>
        <v>65.666666666666671</v>
      </c>
      <c r="F31" s="1084">
        <f>SUBTOTAL(9,F8:F30)</f>
        <v>1418</v>
      </c>
      <c r="G31" s="1085">
        <f>IF(ISNUMBER(F31/B31),F31/B31," - ")</f>
        <v>236.33333333333334</v>
      </c>
      <c r="H31" s="1084">
        <f>SUBTOTAL(9,H8:H30)</f>
        <v>198</v>
      </c>
      <c r="I31" s="1085">
        <f>IF(ISNUMBER(H31/B31),H31/B31," - ")</f>
        <v>33</v>
      </c>
    </row>
    <row r="34" spans="1:1">
      <c r="A34" s="439" t="str">
        <f>Criterios!A4</f>
        <v>Fecha Informe: 06 may. 2023</v>
      </c>
    </row>
    <row r="39" spans="1:1">
      <c r="A39" s="462"/>
    </row>
  </sheetData>
  <sheetProtection algorithmName="SHA-512" hashValue="tP3DnAghBQLNm1jCept8S+waSEkOPSR+Do5Pls0offko0taOKRBnsNKgPZAThRdnwstNgECkfPB83oEvtrACtw==" saltValue="wOKJwp7mypechLK/pwMR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CEUTA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1</v>
      </c>
      <c r="D10" s="456">
        <f>IF(ISNUMBER(Datos!R10),Datos!R10," - ")</f>
        <v>15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204</v>
      </c>
      <c r="C12" s="489">
        <f>IF(ISNUMBER(Datos!Q12),Datos!Q12," - ")</f>
        <v>110</v>
      </c>
      <c r="D12" s="456">
        <f>IF(ISNUMBER(Datos!R12),Datos!R12," - ")</f>
        <v>4045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207</v>
      </c>
      <c r="C14" s="1150">
        <f>SUBTOTAL(9,C9:C13)</f>
        <v>111</v>
      </c>
      <c r="D14" s="1148">
        <f>SUBTOTAL(9,D9:D13)</f>
        <v>4060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52</v>
      </c>
      <c r="C17" s="489">
        <f>IF(ISNUMBER(Datos!Q17),Datos!Q17," - ")</f>
        <v>34</v>
      </c>
      <c r="D17" s="456">
        <f>IF(ISNUMBER(Datos!R17),Datos!R17," - ")</f>
        <v>160</v>
      </c>
    </row>
    <row r="18" spans="1:4">
      <c r="A18" s="450" t="str">
        <f>Datos!A18</f>
        <v>Jdos. Violencia contra la mujer</v>
      </c>
      <c r="B18" s="488">
        <f>IF(ISNUMBER(Datos!P18),Datos!P18," - ")</f>
        <v>2</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0</v>
      </c>
      <c r="C21" s="489">
        <f>IF(ISNUMBER(Datos!Q21),Datos!Q21," - ")</f>
        <v>0</v>
      </c>
      <c r="D21" s="456">
        <f>IF(ISNUMBER(Datos!R21),Datos!R21," - ")</f>
        <v>2</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54</v>
      </c>
      <c r="C23" s="1150">
        <f>SUBTOTAL(9,C16:C22)</f>
        <v>34</v>
      </c>
      <c r="D23" s="1148">
        <f>SUBTOTAL(9,D16:D22)</f>
        <v>165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261</v>
      </c>
      <c r="C31" s="1089">
        <f>SUBTOTAL(9,C8:C30)</f>
        <v>145</v>
      </c>
      <c r="D31" s="1090">
        <f>SUBTOTAL(9,D8:D30)</f>
        <v>4225</v>
      </c>
    </row>
    <row r="32" spans="1:4" ht="7.5" customHeight="1"/>
    <row r="33" spans="1:1" ht="6" customHeight="1"/>
    <row r="34" spans="1:1">
      <c r="A34" s="439" t="str">
        <f>Criterios!A4</f>
        <v>Fecha Informe: 06 may. 2023</v>
      </c>
    </row>
    <row r="39" spans="1:1">
      <c r="A39" s="462"/>
    </row>
  </sheetData>
  <sheetProtection algorithmName="SHA-512" hashValue="HCSEE5OykMoAigAeg5MEsGIR7ZSDkLU6WV1WCczL4+2wDPyyEhFxFXR8IfVbHVG0uwKBtWYJE5W44+eWK9af9g==" saltValue="wBDUE0vIJQTrKtr48FuT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CEUTA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3</v>
      </c>
      <c r="D10" s="515">
        <f>IF(ISNUMBER((Datos!K10-Datos!U10)/Datos!U10),(Datos!K10-Datos!U10)/Datos!U10," - ")</f>
        <v>5</v>
      </c>
      <c r="E10" s="515">
        <f>IF(ISNUMBER((Datos!L10-Datos!V10)/Datos!V10),(Datos!L10-Datos!V10)/Datos!V10," - ")</f>
        <v>3.5714285714285712E-2</v>
      </c>
      <c r="F10" s="515">
        <f>IF(ISNUMBER((Datos!M10-Datos!W10)/Datos!W10),(Datos!M10-Datos!W10)/Datos!W10," - ")</f>
        <v>4</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-0.82738095238095244</v>
      </c>
      <c r="J10" s="521">
        <f>IF(ISNUMBER((('Resol  Asuntos'!D10/NºAsuntos!G10)-Datos!BF10)/Datos!BF10),(('Resol  Asuntos'!D10/NºAsuntos!G10)-Datos!BF10)/Datos!BF10," - ")</f>
        <v>-0.16666666666666663</v>
      </c>
      <c r="K10" s="522">
        <f>IF(ISNUMBER((((NºAsuntos!C10+NºAsuntos!E10)/NºAsuntos!G10)-Datos!BG10)/Datos!BG10),(((NºAsuntos!C10+NºAsuntos!E10)/NºAsuntos!G10)-Datos!BG10)/Datos!BG10," - ")</f>
        <v>-0.79885057471264376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-2.816123688569851E-2</v>
      </c>
      <c r="C12" s="515">
        <f>IF(ISNUMBER(
   IF(J_V="SI",(Datos!J12-Datos!T12)/Datos!T12,(Datos!J12+Datos!Z12-(Datos!T12+Datos!AH12))/(Datos!T12+Datos!AH12))
     ),IF(J_V="SI",(Datos!J12-Datos!T12)/Datos!T12,(Datos!J12+Datos!Z12-(Datos!T12+Datos!AH12))/(Datos!T12+Datos!AH12))," - ")</f>
        <v>0.28251121076233182</v>
      </c>
      <c r="D12" s="515">
        <f>IF(ISNUMBER(
   IF(J_V="SI",(Datos!K12-Datos!U12)/Datos!U12,(Datos!K12+Datos!AA12-(Datos!U12+Datos!AI12))/(Datos!U12+Datos!AI12))
     ),IF(J_V="SI",(Datos!K12-Datos!U12)/Datos!U12,(Datos!K12+Datos!AA12-(Datos!U12+Datos!AI12))/(Datos!U12+Datos!AI12))," - ")</f>
        <v>0.1635036496350365</v>
      </c>
      <c r="E12" s="515">
        <f>IF(ISNUMBER(
   IF(J_V="SI",(Datos!L12-Datos!V12)/Datos!V12,(Datos!L12+Datos!AB12-(Datos!V12+Datos!AJ12))/(Datos!V12+Datos!AJ12))
     ),IF(J_V="SI",(Datos!L12-Datos!V12)/Datos!V12,(Datos!L12+Datos!AB12-(Datos!V12+Datos!AJ12))/(Datos!V12+Datos!AJ12))," - ")</f>
        <v>-1.6705069124423964E-2</v>
      </c>
      <c r="F12" s="515">
        <f>IF(ISNUMBER((Datos!M12-Datos!W12)/Datos!W12),(Datos!M12-Datos!W12)/Datos!W12," - ")</f>
        <v>4.4642857142857144E-2</v>
      </c>
      <c r="G12" s="516">
        <f>IF(ISNUMBER((Datos!N12-Datos!X12)/Datos!X12),(Datos!N12-Datos!X12)/Datos!X12," - ")</f>
        <v>1.0344827586206897</v>
      </c>
      <c r="H12" s="514">
        <f>IF(ISNUMBER(((NºAsuntos!G12/NºAsuntos!E12)-Datos!BD12)/Datos!BD12),((NºAsuntos!G12/NºAsuntos!E12)-Datos!BD12)/Datos!BD12," - ")</f>
        <v>-9.279260885100292E-2</v>
      </c>
      <c r="I12" s="515">
        <f>IF(ISNUMBER(((NºAsuntos!I12/NºAsuntos!G12)-Datos!BE12)/Datos!BE12),((NºAsuntos!I12/NºAsuntos!G12)-Datos!BE12)/Datos!BE12," - ")</f>
        <v>-0.15488453243441705</v>
      </c>
      <c r="J12" s="521">
        <f>IF(ISNUMBER((('Resol  Asuntos'!D12/NºAsuntos!G12)-Datos!BF12)/Datos!BF12),(('Resol  Asuntos'!D12/NºAsuntos!G12)-Datos!BF12)/Datos!BF12," - ")</f>
        <v>0.3870116384718556</v>
      </c>
      <c r="K12" s="522">
        <f>IF(ISNUMBER((((NºAsuntos!C12+NºAsuntos!E12)/NºAsuntos!G12)-Datos!BG12)/Datos!BG12),(((NºAsuntos!C12+NºAsuntos!E12)/NºAsuntos!G12)-Datos!BG12)/Datos!BG12," - ")</f>
        <v>-9.2701461124377674E-2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-2.7747551686615888E-2</v>
      </c>
      <c r="C14" s="1152">
        <f>IF(ISNUMBER(
   IF(J_V="SI",(Datos!J14-Datos!T14)/Datos!T14,(Datos!J14+Datos!Z14-(Datos!T14+Datos!AH14))/(Datos!T14+Datos!AH14))
     ),IF(J_V="SI",(Datos!J14-Datos!T14)/Datos!T14,(Datos!J14+Datos!Z14-(Datos!T14+Datos!AH14))/(Datos!T14+Datos!AH14))," - ")</f>
        <v>0.29061102831594637</v>
      </c>
      <c r="D14" s="1152">
        <f>IF(ISNUMBER(
   IF(J_V="SI",(Datos!K14-Datos!U14)/Datos!U14,(Datos!K14+Datos!AA14-(Datos!U14+Datos!AI14))/(Datos!U14+Datos!AI14))
     ),IF(J_V="SI",(Datos!K14-Datos!U14)/Datos!U14,(Datos!K14+Datos!AA14-(Datos!U14+Datos!AI14))/(Datos!U14+Datos!AI14))," - ")</f>
        <v>0.17055393586005832</v>
      </c>
      <c r="E14" s="1152">
        <f>IF(ISNUMBER(
   IF(J_V="SI",(Datos!L14-Datos!V14)/Datos!V14,(Datos!L14+Datos!AB14-(Datos!V14+Datos!AJ14))/(Datos!V14+Datos!AJ14))
     ),IF(J_V="SI",(Datos!L14-Datos!V14)/Datos!V14,(Datos!L14+Datos!AB14-(Datos!V14+Datos!AJ14))/(Datos!V14+Datos!AJ14))," - ")</f>
        <v>-1.5873015873015872E-2</v>
      </c>
      <c r="F14" s="1153">
        <f>IF(ISNUMBER((Datos!M14-Datos!W14)/Datos!W14),(Datos!M14-Datos!W14)/Datos!W14," - ")</f>
        <v>6.222222222222222E-2</v>
      </c>
      <c r="G14" s="1154">
        <f>IF(ISNUMBER((Datos!N14-Datos!X14)/Datos!X14),(Datos!N14-Datos!X14)/Datos!X14," - ")</f>
        <v>1.0344827586206897</v>
      </c>
      <c r="H14" s="1154">
        <f>IF(ISNUMBER(((NºAsuntos!G14/NºAsuntos!E14)-Datos!BD14)/Datos!BD14),((NºAsuntos!G14/NºAsuntos!E14)-Datos!BD14)/Datos!BD14," - ")</f>
        <v>-9.3023451544920116E-2</v>
      </c>
      <c r="I14" s="1154">
        <f>IF(ISNUMBER(((NºAsuntos!I14/NºAsuntos!G14)-Datos!BE14)/Datos!BE14),((NºAsuntos!I14/NºAsuntos!G14)-Datos!BE14)/Datos!BE14," - ")</f>
        <v>-0.15926387159263869</v>
      </c>
      <c r="J14" s="1154">
        <f>IF(ISNUMBER((('Resol  Asuntos'!D14/NºAsuntos!G14)-Datos!BF14)/Datos!BF14),(('Resol  Asuntos'!D14/NºAsuntos!G14)-Datos!BF14)/Datos!BF14," - ")</f>
        <v>0.39847148535457799</v>
      </c>
      <c r="K14" s="1154">
        <f>IF(ISNUMBER((((NºAsuntos!C14+NºAsuntos!E14)/NºAsuntos!G14)-Datos!BG14)/Datos!BG14),(((NºAsuntos!C14+NºAsuntos!E14)/NºAsuntos!G14)-Datos!BG14)/Datos!BG14," - ")</f>
        <v>-9.6672650934841328E-2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-0.19708029197080293</v>
      </c>
      <c r="C17" s="515">
        <f>IF(ISNUMBER(
   IF(D_I="SI",(Datos!J17-Datos!T17)/Datos!T17,(Datos!J17+Datos!AD17-(Datos!T17+Datos!AL17))/(Datos!T17+Datos!AL17))
     ),IF(D_I="SI",(Datos!J17-Datos!T17)/Datos!T17,(Datos!J17+Datos!AD17-(Datos!T17+Datos!AL17))/(Datos!T17+Datos!AL17))," - ")</f>
        <v>-0.18638170974155069</v>
      </c>
      <c r="D17" s="515">
        <f>IF(ISNUMBER(
   IF(D_I="SI",(Datos!K17-Datos!U17)/Datos!U17,(Datos!K17+Datos!AE17-(Datos!U17+Datos!AM17))/(Datos!U17+Datos!AM17))
     ),IF(D_I="SI",(Datos!K17-Datos!U17)/Datos!U17,(Datos!K17+Datos!AE17-(Datos!U17+Datos!AM17))/(Datos!U17+Datos!AM17))," - ")</f>
        <v>-0.20987654320987653</v>
      </c>
      <c r="E17" s="515">
        <f>IF(ISNUMBER(
   IF(D_I="SI",(Datos!L17-Datos!V17)/Datos!V17,(Datos!L17+Datos!AF17-(Datos!V17+Datos!AN17))/(Datos!V17+Datos!AN17))
     ),IF(D_I="SI",(Datos!L17-Datos!V17)/Datos!V17,(Datos!L17+Datos!AF17-(Datos!V17+Datos!AN17))/(Datos!V17+Datos!AN17))," - ")</f>
        <v>-0.12830687830687831</v>
      </c>
      <c r="F17" s="515">
        <f>IF(ISNUMBER((Datos!M17-Datos!W17)/Datos!W17),(Datos!M17-Datos!W17)/Datos!W17," - ")</f>
        <v>-0.27777777777777779</v>
      </c>
      <c r="G17" s="516">
        <f>IF(ISNUMBER((Datos!N17-Datos!X17)/Datos!X17),(Datos!N17-Datos!X17)/Datos!X17," - ")</f>
        <v>-0.21578566256335988</v>
      </c>
      <c r="H17" s="514">
        <f>IF(ISNUMBER(((NºAsuntos!G17/NºAsuntos!E17)-Datos!BD17)/Datos!BD17),((NºAsuntos!G17/NºAsuntos!E17)-Datos!BD17)/Datos!BD17," - ")</f>
        <v>-2.8876973083855572E-2</v>
      </c>
      <c r="I17" s="515">
        <f>IF(ISNUMBER(((NºAsuntos!I17/NºAsuntos!G17)-Datos!BE17)/Datos!BE17),((NºAsuntos!I17/NºAsuntos!G17)-Datos!BE17)/Datos!BE17," - ")</f>
        <v>0.10323660714285708</v>
      </c>
      <c r="J17" s="521">
        <f>IF(ISNUMBER((('Resol  Asuntos'!D17/NºAsuntos!G17)-Datos!BF17)/Datos!BF17),(('Resol  Asuntos'!D17/NºAsuntos!G17)-Datos!BF17)/Datos!BF17," - ")</f>
        <v>-8.59375E-2</v>
      </c>
      <c r="K17" s="522">
        <f>IF(ISNUMBER((((NºAsuntos!C17+NºAsuntos!E17)/NºAsuntos!G17)-Datos!BG17)/Datos!BG17),(((NºAsuntos!C17+NºAsuntos!E17)/NºAsuntos!G17)-Datos!BG17)/Datos!BG17," - ")</f>
        <v>2.6296579532814196E-2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0.23076923076923078</v>
      </c>
      <c r="C18" s="515">
        <f>IF(ISNUMBER(
   IF(D_I="SI",(Datos!J18-Datos!T18)/Datos!T18,(Datos!J18+Datos!AD18-(Datos!T18+Datos!AL18))/(Datos!T18+Datos!AL18))
     ),IF(D_I="SI",(Datos!J18-Datos!T18)/Datos!T18,(Datos!J18+Datos!AD18-(Datos!T18+Datos!AL18))/(Datos!T18+Datos!AL18))," - ")</f>
        <v>0.10434782608695652</v>
      </c>
      <c r="D18" s="515">
        <f>IF(ISNUMBER(
   IF(D_I="SI",(Datos!K18-Datos!U18)/Datos!U18,(Datos!K18+Datos!AE18-(Datos!U18+Datos!AM18))/(Datos!U18+Datos!AM18))
     ),IF(D_I="SI",(Datos!K18-Datos!U18)/Datos!U18,(Datos!K18+Datos!AE18-(Datos!U18+Datos!AM18))/(Datos!U18+Datos!AM18))," - ")</f>
        <v>2.8301886792452831E-2</v>
      </c>
      <c r="E18" s="515">
        <f>IF(ISNUMBER(
   IF(D_I="SI",(Datos!L18-Datos!V18)/Datos!V18,(Datos!L18+Datos!AF18-(Datos!V18+Datos!AN18))/(Datos!V18+Datos!AN18))
     ),IF(D_I="SI",(Datos!L18-Datos!V18)/Datos!V18,(Datos!L18+Datos!AF18-(Datos!V18+Datos!AN18))/(Datos!V18+Datos!AN18))," - ")</f>
        <v>0.34426229508196721</v>
      </c>
      <c r="F18" s="515">
        <f>IF(ISNUMBER((Datos!M18-Datos!W18)/Datos!W18),(Datos!M18-Datos!W18)/Datos!W18," - ")</f>
        <v>-0.14285714285714285</v>
      </c>
      <c r="G18" s="516">
        <f>IF(ISNUMBER((Datos!N18-Datos!X18)/Datos!X18),(Datos!N18-Datos!X18)/Datos!X18," - ")</f>
        <v>-4.7619047619047616E-2</v>
      </c>
      <c r="H18" s="514">
        <f>IF(ISNUMBER(((NºAsuntos!G18/NºAsuntos!E18)-Datos!BD18)/Datos!BD18),((NºAsuntos!G18/NºAsuntos!E18)-Datos!BD18)/Datos!BD18," - ")</f>
        <v>-6.8860496211558431E-2</v>
      </c>
      <c r="I18" s="515">
        <f>IF(ISNUMBER(((NºAsuntos!I18/NºAsuntos!G18)-Datos!BE18)/Datos!BE18),((NºAsuntos!I18/NºAsuntos!G18)-Datos!BE18)/Datos!BE18," - ")</f>
        <v>0.30726425026319759</v>
      </c>
      <c r="J18" s="521">
        <f>IF(ISNUMBER((('Resol  Asuntos'!D18/NºAsuntos!G18)-Datos!BF18)/Datos!BF18),(('Resol  Asuntos'!D18/NºAsuntos!G18)-Datos!BF18)/Datos!BF18," - ")</f>
        <v>-0.1664482306684141</v>
      </c>
      <c r="K18" s="522">
        <f>IF(ISNUMBER((((NºAsuntos!C18+NºAsuntos!E18)/NºAsuntos!G18)-Datos!BG18)/Datos!BG18),(((NºAsuntos!C18+NºAsuntos!E18)/NºAsuntos!G18)-Datos!BG18)/Datos!BG18," - ")</f>
        <v>0.112234247102126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-0.16689280868385345</v>
      </c>
      <c r="C23" s="1152">
        <f>IF(ISNUMBER(
   IF(Criterios!B14="SI",(Datos!J23-Datos!T23)/Datos!T23,(Datos!J23+Datos!AD23-(Datos!T23+Datos!AL23))/(Datos!T23+Datos!AL23))
     ),IF(Criterios!B14="SI",(Datos!J23-Datos!T23)/Datos!T23,(Datos!J23+Datos!AD23-(Datos!T23+Datos!AL23))/(Datos!T23+Datos!AL23))," - ")</f>
        <v>-0.17066290550070523</v>
      </c>
      <c r="D23" s="1152">
        <f>IF(ISNUMBER(
   IF(Criterios!B14="SI",(Datos!K23-Datos!U23)/Datos!U23,(Datos!K23+Datos!AE23-(Datos!U23+Datos!AM23))/(Datos!U23+Datos!AM23))
     ),IF(Criterios!B14="SI",(Datos!K23-Datos!U23)/Datos!U23,(Datos!K23+Datos!AE23-(Datos!U23+Datos!AM23))/(Datos!U23+Datos!AM23))," - ")</f>
        <v>-0.19756097560975611</v>
      </c>
      <c r="E23" s="1152">
        <f>IF(ISNUMBER(
   IF(Criterios!B14="SI",(Datos!L23-Datos!V23)/Datos!V23,(Datos!L23+Datos!AF23-(Datos!V23+Datos!AN23))/(Datos!V23+Datos!AN23))
     ),IF(Criterios!B14="SI",(Datos!L23-Datos!V23)/Datos!V23,(Datos!L23+Datos!AF23-(Datos!V23+Datos!AN23))/(Datos!V23+Datos!AN23))," - ")</f>
        <v>-9.3023255813953487E-2</v>
      </c>
      <c r="F23" s="1153">
        <f>IF(ISNUMBER((Datos!M23-Datos!W23)/Datos!W23),(Datos!M23-Datos!W23)/Datos!W23," - ")</f>
        <v>-0.26886792452830188</v>
      </c>
      <c r="G23" s="1154">
        <f>IF(ISNUMBER((Datos!N23-Datos!X23)/Datos!X23),(Datos!N23-Datos!X23)/Datos!X23," - ")</f>
        <v>-0.21082220660576248</v>
      </c>
      <c r="H23" s="1154">
        <f>IF(ISNUMBER(((NºAsuntos!G23/NºAsuntos!E23)-Datos!BD23)/Datos!BD23),((NºAsuntos!G23/NºAsuntos!E23)-Datos!BD23)/Datos!BD23," - ")</f>
        <v>-3.2433217189314675E-2</v>
      </c>
      <c r="I23" s="1154">
        <f>IF(ISNUMBER(((NºAsuntos!I23/NºAsuntos!G23)-Datos!BE23)/Datos!BE23),((NºAsuntos!I23/NºAsuntos!G23)-Datos!BE23)/Datos!BE23," - ")</f>
        <v>0.13027496995829504</v>
      </c>
      <c r="J23" s="1154">
        <f>IF(ISNUMBER((('Resol  Asuntos'!D23/NºAsuntos!G23)-Datos!BF23)/Datos!BF23),(('Resol  Asuntos'!D23/NºAsuntos!G23)-Datos!BF23)/Datos!BF23," - ")</f>
        <v>-8.8862763089981034E-2</v>
      </c>
      <c r="K23" s="1154">
        <f>IF(ISNUMBER((((NºAsuntos!C23+NºAsuntos!E23)/NºAsuntos!G23)-Datos!BG23)/Datos!BG23),(((NºAsuntos!C23+NºAsuntos!E23)/NºAsuntos!G23)-Datos!BG23)/Datos!BG23," - ")</f>
        <v>3.4729415360581523E-2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-6.7572815533980576E-2</v>
      </c>
      <c r="C31" s="1092">
        <f>IF(ISNUMBER(
   IF(J_V="SI",(Datos!J31-Datos!T31)/Datos!T31,(Datos!J31+Datos!Z31-(Datos!T31+Datos!AH31))/(Datos!T31+Datos!AH31))
     ),IF(J_V="SI",(Datos!J31-Datos!T31)/Datos!T31,(Datos!J31+Datos!Z31-(Datos!T31+Datos!AH31))/(Datos!T31+Datos!AH31))," - ")</f>
        <v>-6.0042887776983557E-2</v>
      </c>
      <c r="D31" s="1092">
        <f>IF(ISNUMBER(
   IF(J_V="SI",(Datos!K31-Datos!U31)/Datos!U31,(Datos!K31+Datos!AA31-(Datos!U31+Datos!AI31))/(Datos!U31+Datos!AI31))
     ),IF(J_V="SI",(Datos!K31-Datos!U31)/Datos!U31,(Datos!K31+Datos!AA31-(Datos!U31+Datos!AI31))/(Datos!U31+Datos!AI31))," - ")</f>
        <v>-0.10526315789473684</v>
      </c>
      <c r="E31" s="1092">
        <f>IF(ISNUMBER(
   IF(J_V="SI",(Datos!L31-Datos!V31)/Datos!V31,(Datos!L31+Datos!AB31-(Datos!V31+Datos!AJ31))/(Datos!V31+Datos!AJ31))
     ),IF(J_V="SI",(Datos!L31-Datos!V31)/Datos!V31,(Datos!L31+Datos!AB31-(Datos!V31+Datos!AJ31))/(Datos!V31+Datos!AJ31))," - ")</f>
        <v>-4.0294459511817128E-2</v>
      </c>
      <c r="F31" s="1093">
        <f>IF(ISNUMBER((Datos!M31-Datos!W31)/Datos!W31),(Datos!M31-Datos!W31)/Datos!W31," - ")</f>
        <v>-9.8398169336384442E-2</v>
      </c>
      <c r="G31" s="1094">
        <f>IF(ISNUMBER((Datos!N31-Datos!X31)/Datos!X31),(Datos!N31-Datos!X31)/Datos!X31," - ")</f>
        <v>-9.5663265306122444E-2</v>
      </c>
      <c r="H31" s="1095">
        <f>IF(ISNUMBER((Tasas!B31-Datos!BD31)/Datos!BD31),(Tasas!B31-Datos!BD31)/Datos!BD31," - ")</f>
        <v>-4.8108865319191479E-2</v>
      </c>
      <c r="I31" s="1096">
        <f>IF(ISNUMBER((Tasas!C31-Datos!BE31)/Datos!BE31),(Tasas!C31-Datos!BE31)/Datos!BE31," - ")</f>
        <v>7.261207466326311E-2</v>
      </c>
      <c r="J31" s="1097">
        <f>IF(ISNUMBER((Tasas!D31-Datos!BF31)/Datos!BF31),(Tasas!D31-Datos!BF31)/Datos!BF31," - ")</f>
        <v>0.23003614853762744</v>
      </c>
      <c r="K31" s="1097">
        <f>IF(ISNUMBER((Tasas!E31-Datos!BG31)/Datos!BG31),(Tasas!E31-Datos!BG31)/Datos!BG31," - ")</f>
        <v>4.6507045029066871E-2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N5Gwl1A9BkdCSlGfS87X5uIO7z1pH/4NkBT72NoGcngyCUoVKbOAv+shHaHSeBpbEtdeGqeVtXC5E/1iCxZzA==" saltValue="q1p5wBGJm9joamM3FSTab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CEUTA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4.833333333333333</v>
      </c>
      <c r="D10" s="499">
        <f>IF(ISNUMBER('Resol  Asuntos'!D10/NºAsuntos!G10),'Resol  Asuntos'!D10/NºAsuntos!G10," - ")</f>
        <v>0.83333333333333337</v>
      </c>
      <c r="E10" s="500">
        <f>IF(ISNUMBER((NºAsuntos!C10+NºAsuntos!E10)/NºAsuntos!G10),(NºAsuntos!C10+NºAsuntos!E10)/NºAsuntos!G10," - ")</f>
        <v>5.833333333333333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0.92890442890442892</v>
      </c>
      <c r="C12" s="498">
        <f>IF(ISNUMBER(NºAsuntos!I12/NºAsuntos!G12),NºAsuntos!I12/NºAsuntos!G12," - ")</f>
        <v>2.1417816813048933</v>
      </c>
      <c r="D12" s="499">
        <f>IF(ISNUMBER('Resol  Asuntos'!D12/NºAsuntos!G12),'Resol  Asuntos'!D12/NºAsuntos!G12," - ")</f>
        <v>0.29360100376411541</v>
      </c>
      <c r="E12" s="500">
        <f>IF(ISNUMBER((NºAsuntos!C12+NºAsuntos!E12)/NºAsuntos!G12),(NºAsuntos!C12+NºAsuntos!E12)/NºAsuntos!G12," - ")</f>
        <v>3.2848180677540779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0.9272517321016166</v>
      </c>
      <c r="C14" s="1156">
        <f>IF(ISNUMBER(NºAsuntos!I14/NºAsuntos!G14),NºAsuntos!I14/NºAsuntos!G14," - ")</f>
        <v>2.1618929016189292</v>
      </c>
      <c r="D14" s="1157">
        <f>IF(ISNUMBER('Resol  Asuntos'!D14/NºAsuntos!G14),'Resol  Asuntos'!D14/NºAsuntos!G14," - ")</f>
        <v>0.29763387297633875</v>
      </c>
      <c r="E14" s="1158">
        <f>IF(ISNUMBER((NºAsuntos!C14+NºAsuntos!E14)/NºAsuntos!G14),(NºAsuntos!C14+NºAsuntos!E14)/NºAsuntos!G14," - ")</f>
        <v>3.3038605230386051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0.93830177153329264</v>
      </c>
      <c r="C17" s="498">
        <f>IF(ISNUMBER(NºAsuntos!I17/NºAsuntos!G17),NºAsuntos!I17/NºAsuntos!G17," - ")</f>
        <v>0.42903645833333331</v>
      </c>
      <c r="D17" s="499">
        <f>IF(ISNUMBER('Resol  Asuntos'!D17/NºAsuntos!G17),'Resol  Asuntos'!D17/NºAsuntos!G17," - ")</f>
        <v>9.3098958333333329E-2</v>
      </c>
      <c r="E17" s="500">
        <f>IF(ISNUMBER((NºAsuntos!C17+NºAsuntos!E17)/NºAsuntos!G17),(NºAsuntos!C17+NºAsuntos!E17)/NºAsuntos!G17," - ")</f>
        <v>1.423828125</v>
      </c>
      <c r="G17" s="523"/>
    </row>
    <row r="18" spans="1:7">
      <c r="A18" s="450" t="str">
        <f>Datos!A18</f>
        <v>Jdos. Violencia contra la mujer</v>
      </c>
      <c r="B18" s="497">
        <f>IF(ISNUMBER(NºAsuntos!G18/NºAsuntos!E18),NºAsuntos!G18/NºAsuntos!E18," - ")</f>
        <v>0.8582677165354331</v>
      </c>
      <c r="C18" s="498">
        <f>IF(ISNUMBER(NºAsuntos!I18/NºAsuntos!G18),NºAsuntos!I18/NºAsuntos!G18," - ")</f>
        <v>0.75229357798165142</v>
      </c>
      <c r="D18" s="499">
        <f>IF(ISNUMBER('Resol  Asuntos'!D18/NºAsuntos!G18),'Resol  Asuntos'!D18/NºAsuntos!G18," - ")</f>
        <v>0.11009174311926606</v>
      </c>
      <c r="E18" s="500">
        <f>IF(ISNUMBER((NºAsuntos!C18+NºAsuntos!E18)/NºAsuntos!G18),(NºAsuntos!C18+NºAsuntos!E18)/NºAsuntos!G18," - ")</f>
        <v>1.7522935779816513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0.93253968253968256</v>
      </c>
      <c r="C23" s="1156">
        <f>IF(ISNUMBER(NºAsuntos!I23/NºAsuntos!G23),NºAsuntos!I23/NºAsuntos!G23," - ")</f>
        <v>0.45045592705167176</v>
      </c>
      <c r="D23" s="1159">
        <f>IF(ISNUMBER('Resol  Asuntos'!D23/NºAsuntos!G23),'Resol  Asuntos'!D23/NºAsuntos!G23," - ")</f>
        <v>9.4224924012158054E-2</v>
      </c>
      <c r="E23" s="1158">
        <f>IF(ISNUMBER((NºAsuntos!C23+NºAsuntos!E23)/NºAsuntos!G23),(NºAsuntos!C23+NºAsuntos!E23)/NºAsuntos!G23," - ")</f>
        <v>1.4455927051671733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0.9307984790874525</v>
      </c>
      <c r="C31" s="1099">
        <f>IF(ISNUMBER(NºAsuntos!I31/NºAsuntos!G31),NºAsuntos!I31/NºAsuntos!G31," - ")</f>
        <v>1.0118464052287581</v>
      </c>
      <c r="D31" s="1100">
        <f>IF(ISNUMBER('Resol  Asuntos'!D31/NºAsuntos!G31),'Resol  Asuntos'!D31/NºAsuntos!G31," - ")</f>
        <v>0.16094771241830066</v>
      </c>
      <c r="E31" s="1101">
        <f>IF(ISNUMBER((NºAsuntos!C31+NºAsuntos!E31)/NºAsuntos!G31),(NºAsuntos!C31+NºAsuntos!E31)/NºAsuntos!G31," - ")</f>
        <v>2.0551470588235294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9FnSa7Il4AgWYh8CYiErNHvtP6zW9/3S0XzADqfgkdxfWjK1AXEQcgckqgcVDwfIn+HhutSYbumt4fpwDgS3A==" saltValue="KUw44bNvvt8w6w9xbBTxP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CEUTA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464</v>
      </c>
      <c r="B5" s="297"/>
      <c r="C5" s="1649" t="str">
        <f>"Año:  " &amp;Criterios!B$5 &amp; "          Trimestre   " &amp;Criterios!D$5 &amp; " al " &amp;Criterios!D$6</f>
        <v>Año:  2022          Trimestre   3 al 3</v>
      </c>
      <c r="D5" s="1628" t="s">
        <v>490</v>
      </c>
      <c r="E5" s="1628" t="s">
        <v>413</v>
      </c>
      <c r="F5" s="1651" t="s">
        <v>526</v>
      </c>
      <c r="G5" s="1654" t="s">
        <v>173</v>
      </c>
      <c r="H5" s="1634" t="s">
        <v>221</v>
      </c>
      <c r="I5" s="1634" t="s">
        <v>225</v>
      </c>
      <c r="J5" s="1634" t="s">
        <v>226</v>
      </c>
      <c r="K5" s="1634" t="s">
        <v>527</v>
      </c>
      <c r="L5" s="1634" t="s">
        <v>776</v>
      </c>
      <c r="M5" s="1634" t="s">
        <v>419</v>
      </c>
      <c r="N5" s="1634" t="s">
        <v>491</v>
      </c>
      <c r="O5" s="1634" t="s">
        <v>529</v>
      </c>
      <c r="P5" s="1634" t="s">
        <v>224</v>
      </c>
      <c r="Q5" s="1634" t="s">
        <v>59</v>
      </c>
      <c r="R5" s="1660" t="s">
        <v>227</v>
      </c>
      <c r="S5" s="1663" t="s">
        <v>230</v>
      </c>
      <c r="T5" s="1681" t="s">
        <v>231</v>
      </c>
      <c r="U5" s="1678" t="s">
        <v>232</v>
      </c>
      <c r="V5" s="1672" t="s">
        <v>417</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321</v>
      </c>
      <c r="AK5" s="1657" t="s">
        <v>322</v>
      </c>
      <c r="AL5" s="1628" t="s">
        <v>323</v>
      </c>
      <c r="AM5" s="1628" t="s">
        <v>472</v>
      </c>
      <c r="AN5" s="1628" t="s">
        <v>324</v>
      </c>
      <c r="AO5" s="1628" t="s">
        <v>325</v>
      </c>
      <c r="AP5" s="1628" t="s">
        <v>386</v>
      </c>
      <c r="AQ5" s="1628" t="s">
        <v>245</v>
      </c>
      <c r="AR5" s="1628" t="s">
        <v>246</v>
      </c>
      <c r="AS5" s="1628" t="s">
        <v>502</v>
      </c>
      <c r="AT5" s="1628" t="s">
        <v>375</v>
      </c>
      <c r="AU5" s="1628" t="s">
        <v>376</v>
      </c>
      <c r="AV5" s="1628" t="s">
        <v>435</v>
      </c>
      <c r="AW5" s="1628" t="s">
        <v>1111</v>
      </c>
      <c r="AX5" s="1628" t="s">
        <v>418</v>
      </c>
      <c r="AY5" s="1628" t="s">
        <v>999</v>
      </c>
      <c r="AZ5" s="1628" t="s">
        <v>1000</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320</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320</v>
      </c>
      <c r="C10" s="7" t="str">
        <f>Datos!A10</f>
        <v>Jdos. Violencia contra la mujer</v>
      </c>
      <c r="D10" s="7"/>
      <c r="E10" s="1402">
        <f>IF(ISNUMBER(Datos!AQ10),Datos!AQ10," - ")</f>
        <v>0</v>
      </c>
      <c r="F10" s="239">
        <f>IF(ISNUMBER(Datos!L10+Datos!K10-Datos!J10-K10),Datos!L10+Datos!K10-Datos!J10-K10," - ")</f>
        <v>27</v>
      </c>
      <c r="G10" s="373">
        <f>IF(ISNUMBER(Datos!I10),Datos!I10," - ")</f>
        <v>27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1</v>
      </c>
      <c r="Y10" s="374">
        <f t="shared" ref="Y10:Y13" si="0">SUM(W10:X10)</f>
        <v>7</v>
      </c>
      <c r="Z10" s="375" t="str">
        <f>IF(ISNUMBER(Datos!CC10),Datos!CC10," - ")</f>
        <v xml:space="preserve"> - </v>
      </c>
      <c r="AA10" s="372">
        <f>IF(ISNUMBER(Datos!L10),Datos!L10,"-")</f>
        <v>29</v>
      </c>
      <c r="AB10" s="374">
        <f>IF(ISNUMBER(Datos!R10),Datos!R10," - ")</f>
        <v>15</v>
      </c>
      <c r="AC10" s="374">
        <f t="shared" ref="AC10:AC13" si="1">IF(ISNUMBER(AA10+AB10),AA10+AB10," - ")</f>
        <v>44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9.6666666666666661</v>
      </c>
      <c r="AN10" s="267">
        <f>IF(ISNUMBER('Resol  Asuntos'!D10/NºAsuntos!G10),'Resol  Asuntos'!D10/NºAsuntos!G10," - ")</f>
        <v>0.83333333333333337</v>
      </c>
      <c r="AO10" s="268">
        <f>IF(ISNUMBER((NºAsuntos!C10+NºAsuntos!E10)/NºAsuntos!G10),(NºAsuntos!C10+NºAsuntos!E10)/NºAsuntos!G10," - ")</f>
        <v>5.833333333333333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320</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320</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110</v>
      </c>
      <c r="Y12" s="374">
        <f t="shared" si="0"/>
        <v>110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4045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234</v>
      </c>
      <c r="AJ12" s="243" t="str">
        <f>IF(ISNUMBER(Datos!BW12),Datos!BW12," - ")</f>
        <v xml:space="preserve"> - </v>
      </c>
      <c r="AK12" s="242" t="str">
        <f>IF(ISNUMBER(Datos!BX12),Datos!BX12," - ")</f>
        <v xml:space="preserve"> - </v>
      </c>
      <c r="AL12" s="266">
        <f>IF(ISNUMBER(NºAsuntos!G12/NºAsuntos!E12),NºAsuntos!G12/NºAsuntos!E12," - ")</f>
        <v>0.92890442890442892</v>
      </c>
      <c r="AM12" s="284">
        <f>IF(ISNUMBER(((NºAsuntos!I12/NºAsuntos!G12)*11)/factor_trimestre),((NºAsuntos!I12/NºAsuntos!G12)*11)/factor_trimestre," - ")</f>
        <v>4.2835633626097867</v>
      </c>
      <c r="AN12" s="267">
        <f>IF(ISNUMBER('Resol  Asuntos'!D12/NºAsuntos!G12),'Resol  Asuntos'!D12/NºAsuntos!G12," - ")</f>
        <v>0.29360100376411541</v>
      </c>
      <c r="AO12" s="268">
        <f>IF(ISNUMBER((NºAsuntos!C12+NºAsuntos!E12)/NºAsuntos!G12),(NºAsuntos!C12+NºAsuntos!E12)/NºAsuntos!G12," - ")</f>
        <v>3.2848180677540779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320</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27</v>
      </c>
      <c r="G14" s="1163">
        <f t="shared" si="5"/>
        <v>27</v>
      </c>
      <c r="H14" s="1162">
        <f t="shared" si="5"/>
        <v>0</v>
      </c>
      <c r="I14" s="1164">
        <f t="shared" si="5"/>
        <v>0</v>
      </c>
      <c r="J14" s="1164">
        <f t="shared" si="5"/>
        <v>0</v>
      </c>
      <c r="K14" s="1164">
        <f t="shared" si="5"/>
        <v>0</v>
      </c>
      <c r="L14" s="1164">
        <f t="shared" si="5"/>
        <v>207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111</v>
      </c>
      <c r="Y14" s="1165">
        <f t="shared" si="6"/>
        <v>117</v>
      </c>
      <c r="Z14" s="1165">
        <f t="shared" si="6"/>
        <v>0</v>
      </c>
      <c r="AA14" s="1165">
        <f t="shared" si="6"/>
        <v>29</v>
      </c>
      <c r="AB14" s="1165">
        <f t="shared" si="6"/>
        <v>4060</v>
      </c>
      <c r="AC14" s="1165">
        <f t="shared" si="6"/>
        <v>44</v>
      </c>
      <c r="AD14" s="1165">
        <f t="shared" si="6"/>
        <v>0</v>
      </c>
      <c r="AE14" s="1169">
        <f t="shared" si="6"/>
        <v>0</v>
      </c>
      <c r="AF14" s="1162">
        <f t="shared" si="6"/>
        <v>0</v>
      </c>
      <c r="AG14" s="1170">
        <f t="shared" si="6"/>
        <v>0</v>
      </c>
      <c r="AH14" s="1167">
        <f t="shared" si="6"/>
        <v>0</v>
      </c>
      <c r="AI14" s="1162">
        <f t="shared" si="6"/>
        <v>239</v>
      </c>
      <c r="AJ14" s="1164">
        <f t="shared" si="6"/>
        <v>0</v>
      </c>
      <c r="AK14" s="1167">
        <f>SUBTOTAL(9,AK9:AK13)</f>
        <v>0</v>
      </c>
      <c r="AL14" s="1171">
        <f>IF(ISNUMBER(NºAsuntos!G14/NºAsuntos!E14),NºAsuntos!G14/NºAsuntos!E14," - ")</f>
        <v>0.9272517321016166</v>
      </c>
      <c r="AM14" s="1171">
        <f>IF(ISNUMBER(((NºAsuntos!I14/NºAsuntos!G14)*11)/factor_trimestre),((NºAsuntos!I14/NºAsuntos!G14)*11)/factor_trimestre," - ")</f>
        <v>4.3237858032378584</v>
      </c>
      <c r="AN14" s="1172">
        <f>IF(ISNUMBER('Resol  Asuntos'!D14/NºAsuntos!G14),'Resol  Asuntos'!D14/NºAsuntos!G14," - ")</f>
        <v>0.29763387297633875</v>
      </c>
      <c r="AO14" s="1173">
        <f>IF(ISNUMBER((NºAsuntos!C14+NºAsuntos!E14)/NºAsuntos!G14),(NºAsuntos!C14+NºAsuntos!E14)/NºAsuntos!G14," - ")</f>
        <v>3.3038605230386051</v>
      </c>
      <c r="AP14" s="1174" t="str">
        <f t="shared" si="2"/>
        <v xml:space="preserve"> - </v>
      </c>
      <c r="AQ14" s="1174">
        <f>IF(ISNUMBER((H14-W14+K14)/(F14)),(H14-W14+K14)/(F14)," - ")</f>
        <v>-0.22222222222222221</v>
      </c>
      <c r="AR14" s="1175">
        <f>IF(ISNUMBER((Datos!P14-Datos!Q14)/(Datos!R14-Datos!P14+Datos!Q14)),(Datos!P14-Datos!Q14)/(Datos!R14-Datos!P14+Datos!Q14)," - ")</f>
        <v>2.4217961654894045E-2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510</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510</v>
      </c>
      <c r="C17" s="173" t="str">
        <f>Datos!A17</f>
        <v xml:space="preserve">Jdos. 1ª Instª. e Instr.                        </v>
      </c>
      <c r="D17" s="173"/>
      <c r="E17" s="1402">
        <f>IF(ISNUMBER(Datos!AQ17),Datos!AQ17," - ")</f>
        <v>6</v>
      </c>
      <c r="F17" s="239">
        <f>IF(ISNUMBER(AA17+W17-Datos!J17-K17),AA17+W17-Datos!J17-K17," - ")</f>
        <v>558</v>
      </c>
      <c r="G17" s="373">
        <f>IF(ISNUMBER(IF(D_I="SI",Datos!I17,Datos!I17+Datos!AC17)),IF(D_I="SI",Datos!I17,Datos!I17+Datos!AC17)," - ")</f>
        <v>550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1536</v>
      </c>
      <c r="X17" s="240">
        <f>IF(ISNUMBER(Datos!Q17),Datos!Q17," - ")</f>
        <v>34</v>
      </c>
      <c r="Y17" s="374">
        <f t="shared" ref="Y17:Y22" si="9">SUM(W17:X17)</f>
        <v>1570</v>
      </c>
      <c r="Z17" s="375" t="str">
        <f>IF(ISNUMBER(Datos!CC17),Datos!CC17," - ")</f>
        <v xml:space="preserve"> - </v>
      </c>
      <c r="AA17" s="372">
        <f>IF(ISNUMBER(IF(D_I="SI",Datos!L17,Datos!L17+Datos!AF17)),IF(D_I="SI",Datos!L17,Datos!L17+Datos!AF17)," - ")</f>
        <v>659</v>
      </c>
      <c r="AB17" s="374">
        <f>IF(ISNUMBER(Datos!R17),Datos!R17," - ")</f>
        <v>160</v>
      </c>
      <c r="AC17" s="374">
        <f t="shared" si="8"/>
        <v>819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143</v>
      </c>
      <c r="AJ17" s="245" t="str">
        <f>IF(ISNUMBER(Datos!BW17),Datos!BW17," - ")</f>
        <v xml:space="preserve"> - </v>
      </c>
      <c r="AK17" s="246" t="str">
        <f>IF(ISNUMBER(Datos!BX17),Datos!BX17," - ")</f>
        <v xml:space="preserve"> - </v>
      </c>
      <c r="AL17" s="266">
        <f>IF(ISNUMBER(NºAsuntos!G17/NºAsuntos!E17),NºAsuntos!G17/NºAsuntos!E17," - ")</f>
        <v>0.93830177153329264</v>
      </c>
      <c r="AM17" s="284">
        <f>IF(ISNUMBER(((NºAsuntos!I17/NºAsuntos!G17)*11)/factor_trimestre),((NºAsuntos!I17/NºAsuntos!G17)*11)/factor_trimestre," - ")</f>
        <v>0.85807291666666652</v>
      </c>
      <c r="AN17" s="267">
        <f>IF(ISNUMBER('Resol  Asuntos'!D17/NºAsuntos!G17),'Resol  Asuntos'!D17/NºAsuntos!G17," - ")</f>
        <v>9.3098958333333329E-2</v>
      </c>
      <c r="AO17" s="268">
        <f>IF(ISNUMBER((NºAsuntos!C17+NºAsuntos!E17)/NºAsuntos!G17),(NºAsuntos!C17+NºAsuntos!E17)/NºAsuntos!G17," - ")</f>
        <v>1.423828125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510</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109</v>
      </c>
      <c r="X18" s="240">
        <f>IF(ISNUMBER(Datos!Q18),Datos!Q18," - ")</f>
        <v>0</v>
      </c>
      <c r="Y18" s="374">
        <f t="shared" si="9"/>
        <v>109</v>
      </c>
      <c r="Z18" s="375" t="str">
        <f>IF(ISNUMBER(Datos!CC18),Datos!CC18," - ")</f>
        <v xml:space="preserve"> - </v>
      </c>
      <c r="AA18" s="372">
        <f>IF(ISNUMBER(Datos!L18),Datos!L18,"-")</f>
        <v>82</v>
      </c>
      <c r="AB18" s="374">
        <f>IF(ISNUMBER(Datos!R18),Datos!R18," - ")</f>
        <v>3</v>
      </c>
      <c r="AC18" s="374">
        <f t="shared" si="8"/>
        <v>85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0.8582677165354331</v>
      </c>
      <c r="AM18" s="284">
        <f>IF(ISNUMBER(((NºAsuntos!I18/NºAsuntos!G18)*11)/factor_trimestre),((NºAsuntos!I18/NºAsuntos!G18)*11)/factor_trimestre," - ")</f>
        <v>1.5045871559633028</v>
      </c>
      <c r="AN18" s="267">
        <f>IF(ISNUMBER('Resol  Asuntos'!D18/NºAsuntos!G18),'Resol  Asuntos'!D18/NºAsuntos!G18," - ")</f>
        <v>0.11009174311926606</v>
      </c>
      <c r="AO18" s="268">
        <f>IF(ISNUMBER((NºAsuntos!C18+NºAsuntos!E18)/NºAsuntos!G18),(NºAsuntos!C18+NºAsuntos!E18)/NºAsuntos!G18," - ")</f>
        <v>1.7522935779816513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510</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510</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1</v>
      </c>
      <c r="B21" s="300" t="s">
        <v>510</v>
      </c>
      <c r="C21" s="7" t="str">
        <f>Datos!A21</f>
        <v xml:space="preserve">Jdos. de lo Penal                               </v>
      </c>
      <c r="D21" s="7"/>
      <c r="E21" s="1402">
        <f>IF(ISNUMBER(Datos!AQ21),Datos!AQ21," - ")</f>
        <v>0</v>
      </c>
      <c r="F21" s="239">
        <f>IF(ISNUMBER(Datos!L21+Datos!K21-Datos!J21-K21),Datos!L21+Datos!K21-Datos!J21-K21," - ")</f>
        <v>0</v>
      </c>
      <c r="G21" s="373">
        <f>IF(ISNUMBER(Datos!I21),Datos!I21," - ")</f>
        <v>0</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0</v>
      </c>
      <c r="X21" s="240">
        <f>IF(ISNUMBER(Datos!Q21),Datos!Q21," - ")</f>
        <v>0</v>
      </c>
      <c r="Y21" s="374">
        <f t="shared" si="9"/>
        <v>0</v>
      </c>
      <c r="Z21" s="375" t="str">
        <f>IF(ISNUMBER(Datos!CC21),Datos!CC21," - ")</f>
        <v xml:space="preserve"> - </v>
      </c>
      <c r="AA21" s="372">
        <f>IF(ISNUMBER(Datos!L21),Datos!L21,"-")</f>
        <v>0</v>
      </c>
      <c r="AB21" s="374">
        <f>IF(ISNUMBER(Datos!R21),Datos!R21," - ")</f>
        <v>2</v>
      </c>
      <c r="AC21" s="374">
        <f t="shared" si="8"/>
        <v>2</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0</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510</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558</v>
      </c>
      <c r="G23" s="1163">
        <f>SUBTOTAL(9,G16:G22)</f>
        <v>614</v>
      </c>
      <c r="H23" s="1162">
        <f t="shared" ref="H23:O23" si="13">SUBTOTAL(9,H15:H22)</f>
        <v>0</v>
      </c>
      <c r="I23" s="1164">
        <f t="shared" si="13"/>
        <v>0</v>
      </c>
      <c r="J23" s="1164">
        <f t="shared" si="13"/>
        <v>0</v>
      </c>
      <c r="K23" s="1164">
        <f t="shared" si="13"/>
        <v>0</v>
      </c>
      <c r="L23" s="1164">
        <f t="shared" si="13"/>
        <v>54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1645</v>
      </c>
      <c r="X23" s="1164">
        <f t="shared" si="14"/>
        <v>34</v>
      </c>
      <c r="Y23" s="1165">
        <f t="shared" si="14"/>
        <v>1679</v>
      </c>
      <c r="Z23" s="1165">
        <f t="shared" si="14"/>
        <v>0</v>
      </c>
      <c r="AA23" s="1165">
        <f t="shared" si="14"/>
        <v>741</v>
      </c>
      <c r="AB23" s="1165">
        <f t="shared" si="14"/>
        <v>165</v>
      </c>
      <c r="AC23" s="1165">
        <f t="shared" si="14"/>
        <v>906</v>
      </c>
      <c r="AD23" s="1165">
        <f t="shared" si="14"/>
        <v>0</v>
      </c>
      <c r="AE23" s="1169">
        <f t="shared" si="14"/>
        <v>0</v>
      </c>
      <c r="AF23" s="1162">
        <f t="shared" si="14"/>
        <v>0</v>
      </c>
      <c r="AG23" s="1170">
        <f t="shared" si="14"/>
        <v>0</v>
      </c>
      <c r="AH23" s="1167">
        <f t="shared" si="14"/>
        <v>0</v>
      </c>
      <c r="AI23" s="1162">
        <f t="shared" si="14"/>
        <v>155</v>
      </c>
      <c r="AJ23" s="1164">
        <f t="shared" si="14"/>
        <v>0</v>
      </c>
      <c r="AK23" s="1167">
        <f t="shared" si="14"/>
        <v>0</v>
      </c>
      <c r="AL23" s="1171">
        <f>IF(ISNUMBER(NºAsuntos!G23/NºAsuntos!E23),NºAsuntos!G23/NºAsuntos!E23," - ")</f>
        <v>0.93253968253968256</v>
      </c>
      <c r="AM23" s="1171">
        <f>IF(ISNUMBER(((NºAsuntos!I23/NºAsuntos!G23)*11)/factor_trimestre),((NºAsuntos!I23/NºAsuntos!G23)*11)/factor_trimestre," - ")</f>
        <v>0.90091185410334351</v>
      </c>
      <c r="AN23" s="1172">
        <f>IF(ISNUMBER('Resol  Asuntos'!D23/NºAsuntos!G23),'Resol  Asuntos'!D23/NºAsuntos!G23," - ")</f>
        <v>9.4224924012158054E-2</v>
      </c>
      <c r="AO23" s="1173">
        <f>IF(ISNUMBER((NºAsuntos!C23+NºAsuntos!E23)/NºAsuntos!G23),(NºAsuntos!C23+NºAsuntos!E23)/NºAsuntos!G23," - ")</f>
        <v>1.4455927051671733</v>
      </c>
      <c r="AP23" s="1174" t="str">
        <f t="shared" si="2"/>
        <v xml:space="preserve"> - </v>
      </c>
      <c r="AQ23" s="1174">
        <f>IF(ISNUMBER((H23-W23+K23)/(F23)),(H23-W23+K23)/(F23)," - ")</f>
        <v>-2.9480286738351253</v>
      </c>
      <c r="AR23" s="1175">
        <f>IF(ISNUMBER((Datos!P23-Datos!Q23)/(Datos!R23-Datos!P23+Datos!Q23)),(Datos!P23-Datos!Q23)/(Datos!R23-Datos!P23+Datos!Q23)," - ")</f>
        <v>0.13793103448275862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511</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512</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512</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585</v>
      </c>
      <c r="G31" s="1118">
        <f t="shared" si="20"/>
        <v>641</v>
      </c>
      <c r="H31" s="1117">
        <f t="shared" si="20"/>
        <v>0</v>
      </c>
      <c r="I31" s="1119">
        <f t="shared" si="20"/>
        <v>0</v>
      </c>
      <c r="J31" s="1119">
        <f t="shared" si="20"/>
        <v>0</v>
      </c>
      <c r="K31" s="1180">
        <f t="shared" si="20"/>
        <v>0</v>
      </c>
      <c r="L31" s="1119">
        <f t="shared" si="20"/>
        <v>261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1651</v>
      </c>
      <c r="X31" s="1118">
        <f t="shared" si="21"/>
        <v>145</v>
      </c>
      <c r="Y31" s="1125">
        <f t="shared" si="21"/>
        <v>1796</v>
      </c>
      <c r="Z31" s="1125">
        <f t="shared" si="21"/>
        <v>0</v>
      </c>
      <c r="AA31" s="1125">
        <f t="shared" si="21"/>
        <v>770</v>
      </c>
      <c r="AB31" s="1125">
        <f t="shared" si="21"/>
        <v>4225</v>
      </c>
      <c r="AC31" s="1125">
        <f t="shared" si="21"/>
        <v>950</v>
      </c>
      <c r="AD31" s="1125">
        <f t="shared" si="21"/>
        <v>0</v>
      </c>
      <c r="AE31" s="1127">
        <f t="shared" si="21"/>
        <v>0</v>
      </c>
      <c r="AF31" s="1128">
        <f t="shared" si="21"/>
        <v>0</v>
      </c>
      <c r="AG31" s="1129">
        <f t="shared" si="21"/>
        <v>0</v>
      </c>
      <c r="AH31" s="1127">
        <f t="shared" si="21"/>
        <v>0</v>
      </c>
      <c r="AI31" s="1117">
        <f t="shared" si="21"/>
        <v>394</v>
      </c>
      <c r="AJ31" s="1117">
        <f t="shared" si="21"/>
        <v>0</v>
      </c>
      <c r="AK31" s="1127">
        <f t="shared" si="21"/>
        <v>0</v>
      </c>
      <c r="AL31" s="1183">
        <f>IF(ISNUMBER(NºAsuntos!G31/NºAsuntos!E31),NºAsuntos!G31/NºAsuntos!E31," - ")</f>
        <v>0.9307984790874525</v>
      </c>
      <c r="AM31" s="1184">
        <f>IF(ISNUMBER(((NºAsuntos!I31/NºAsuntos!G31)*11)/factor_trimestre),((NºAsuntos!I31/NºAsuntos!G31)*11)/factor_trimestre," - ")</f>
        <v>2.0236928104575163</v>
      </c>
      <c r="AN31" s="1184">
        <f>IF(ISNUMBER('Resol  Asuntos'!D31/NºAsuntos!G31),'Resol  Asuntos'!D31/NºAsuntos!G31," - ")</f>
        <v>0.16094771241830066</v>
      </c>
      <c r="AO31" s="1185">
        <f>IF(ISNUMBER((NºAsuntos!C31+NºAsuntos!E31)/NºAsuntos!G31),(NºAsuntos!C31+NºAsuntos!E31)/NºAsuntos!G31," - ")</f>
        <v>2.0551470588235294</v>
      </c>
      <c r="AP31" s="1186" t="str">
        <f t="shared" si="2"/>
        <v xml:space="preserve"> - </v>
      </c>
      <c r="AQ31" s="1187">
        <f>IF(OR(ISNUMBER(FIND("01",Criterios!A8,1)),ISNUMBER(FIND("02",Criterios!A8,1)),ISNUMBER(FIND("03",Criterios!A8,1)),ISNUMBER(FIND("04",Criterios!A8,1))),(I31-W31+K31)/(F31-K31),(H31-W31+K31)/(F31-K31))</f>
        <v>-2.8222222222222224</v>
      </c>
      <c r="AR31" s="1188">
        <f>IF(ISNUMBER((Datos!P31-Datos!Q31)/(Datos!R31-Datos!P31+Datos!Q31)),(Datos!P31-Datos!Q31)/(Datos!R31-Datos!P31+Datos!Q31)," - ")</f>
        <v>2.8230713068873207E-2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340</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160.25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341</v>
      </c>
      <c r="D33" s="384"/>
      <c r="E33" s="308">
        <f>IF(ISNUMBER(STDEV(E8:E30)),STDEV(E8:E30),"-")</f>
        <v>2.5131234497501729</v>
      </c>
      <c r="F33" s="276">
        <f>IF(ISNUMBER(STDEV(F8:F30)),STDEV(F8:F30),"-")</f>
        <v>267.27914781580483</v>
      </c>
      <c r="G33" s="277">
        <f>IF(ISNUMBER(STDEV(G8:G30)),STDEV(G8:G30),"-")</f>
        <v>261.75492900257456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728.43996713132492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104.59817291797107</v>
      </c>
      <c r="AJ33" s="276">
        <f t="shared" si="25"/>
        <v>0</v>
      </c>
      <c r="AK33" s="278">
        <f t="shared" si="25"/>
        <v>0</v>
      </c>
      <c r="AL33" s="273">
        <f t="shared" si="25"/>
        <v>7.4360114967461588E-2</v>
      </c>
      <c r="AM33" s="274">
        <f t="shared" si="25"/>
        <v>3.3760603053284908</v>
      </c>
      <c r="AN33" s="274">
        <f t="shared" si="25"/>
        <v>0.28449714895121536</v>
      </c>
      <c r="AO33" s="275">
        <f t="shared" si="25"/>
        <v>1.7032963084762347</v>
      </c>
      <c r="AP33" s="317" t="str">
        <f t="shared" si="25"/>
        <v>-</v>
      </c>
      <c r="AQ33" s="318">
        <f t="shared" si="25"/>
        <v>1.9274362261375246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545</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338</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339</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YRALHVnLfZBr7HQ7qV7RDiran0HXQsJBZnj4EruVI4gd4BFAEHmGHmPN6GyKLNAqjw1ycN63tJeavfZvJHd71g==" saltValue="03mg/2vG9+GWXRcZ764YE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CEUTA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353</v>
      </c>
      <c r="O5" s="175"/>
      <c r="P5" s="175"/>
      <c r="Q5" s="184" t="s">
        <v>354</v>
      </c>
      <c r="R5" s="184"/>
      <c r="S5" s="182"/>
      <c r="T5" s="182"/>
    </row>
    <row r="6" spans="2:20" ht="12.75" customHeight="1">
      <c r="B6" s="298"/>
      <c r="C6" s="1650"/>
      <c r="D6" s="1670"/>
      <c r="E6" s="1701"/>
      <c r="F6" s="1698"/>
      <c r="G6" s="1695"/>
      <c r="H6" s="1692"/>
      <c r="I6" s="1667"/>
      <c r="J6" s="1644"/>
      <c r="K6" s="1661"/>
      <c r="M6" s="1705" t="s">
        <v>369</v>
      </c>
      <c r="N6" s="1705" t="s">
        <v>350</v>
      </c>
      <c r="O6" s="1705" t="s">
        <v>351</v>
      </c>
      <c r="P6" s="1705" t="s">
        <v>352</v>
      </c>
      <c r="Q6" s="1705" t="s">
        <v>369</v>
      </c>
      <c r="R6" s="1705" t="s">
        <v>350</v>
      </c>
      <c r="S6" s="1705" t="s">
        <v>351</v>
      </c>
      <c r="T6" s="1705" t="s">
        <v>352</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320</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320</v>
      </c>
      <c r="C10" s="7" t="str">
        <f>Datos!A10</f>
        <v>Jdos. Violencia contra la mujer</v>
      </c>
      <c r="D10" s="397">
        <f>IF(ISNUMBER((Datos!I10-Datos!S10)/Datos!S10),(Datos!I10-Datos!S10)/Datos!S10," - ")</f>
        <v>0</v>
      </c>
      <c r="E10" s="393">
        <f>IF(ISNUMBER((Datos!J10-Datos!T10)/Datos!T10),(Datos!J10-Datos!T10)/Datos!T10," - ")</f>
        <v>3</v>
      </c>
      <c r="F10" s="393">
        <f>IF(ISNUMBER((Datos!K10-Datos!U10)/Datos!U10),(Datos!K10-Datos!U10)/Datos!U10," - ")</f>
        <v>5</v>
      </c>
      <c r="G10" s="394">
        <f>IF(ISNUMBER((Datos!L10-Datos!V10)/Datos!V10),(Datos!L10-Datos!V10)/Datos!V10," - ")</f>
        <v>3.5714285714285712E-2</v>
      </c>
      <c r="H10" s="244">
        <f>IF(ISNUMBER((Datos!M10-Datos!W10)/Datos!W10),(Datos!M10-Datos!W10)/Datos!W10," - ")</f>
        <v>4</v>
      </c>
      <c r="I10" s="395">
        <f>IF(ISNUMBER((Tasas!C10-Datos!BE10)/Datos!BE10),(Tasas!C10-Datos!BE10)/Datos!BE10," - ")</f>
        <v>-0.82738095238095244</v>
      </c>
      <c r="J10" s="394">
        <f>IF(ISNUMBER((Tasas!D10-Datos!BF10)/Datos!BF10),(Tasas!D10-Datos!BF10)/Datos!BF10," - ")</f>
        <v>-0.16666666666666663</v>
      </c>
      <c r="K10" s="396">
        <f>IF(ISNUMBER((Tasas!E10-Datos!BG10)/Datos!BG10),(Tasas!E10-Datos!BG10)/Datos!BG10," - ")</f>
        <v>-0.79885057471264376</v>
      </c>
    </row>
    <row r="11" spans="2:20" ht="14.25">
      <c r="B11" s="300" t="s">
        <v>320</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320</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4.4642857142857144E-2</v>
      </c>
      <c r="I12" s="395">
        <f>IF(ISNUMBER((Tasas!C12-Datos!BE12)/Datos!BE12),(Tasas!C12-Datos!BE12)/Datos!BE12," - ")</f>
        <v>-0.15488453243441705</v>
      </c>
      <c r="J12" s="394">
        <f>IF(ISNUMBER((Tasas!D12-Datos!BF12)/Datos!BF12),(Tasas!D12-Datos!BF12)/Datos!BF12," - ")</f>
        <v>0.3870116384718556</v>
      </c>
      <c r="K12" s="396">
        <f>IF(ISNUMBER((Tasas!E12-Datos!BG12)/Datos!BG12),(Tasas!E12-Datos!BG12)/Datos!BG12," - ")</f>
        <v>-9.2701461124377674E-2</v>
      </c>
      <c r="M12" t="e">
        <f>IF(Monitorios="SI",Datos!CE12,0)</f>
        <v>#REF!</v>
      </c>
      <c r="N12" t="e">
        <f>IF(Monitorios="SI",Datos!CF12,0)</f>
        <v>#REF!</v>
      </c>
      <c r="O12" t="e">
        <f>IF(Monitorios="SI",Datos!CG12,0)</f>
        <v>#REF!</v>
      </c>
      <c r="P12" t="e">
        <f>IF(Monitorios="SI",Datos!CH12,0)</f>
        <v>#REF!</v>
      </c>
      <c r="Q12">
        <f>IF(J_V="SI",0,Datos!AG12)</f>
        <v>40</v>
      </c>
      <c r="R12">
        <f>IF(J_V="SI",0,Datos!AH12)</f>
        <v>54</v>
      </c>
      <c r="S12">
        <f>IF(J_V="SI",0,Datos!AI12)</f>
        <v>48</v>
      </c>
      <c r="T12">
        <f>IF(J_V="SI",0,Datos!AJ12)</f>
        <v>48</v>
      </c>
    </row>
    <row r="13" spans="2:20" ht="15" thickBot="1">
      <c r="B13" s="300" t="s">
        <v>320</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6.222222222222222E-2</v>
      </c>
      <c r="I14" s="402">
        <f>IF(ISNUMBER((Tasas!C14-Datos!BE14)/Datos!BE14),(Tasas!C14-Datos!BE14)/Datos!BE14," - ")</f>
        <v>-0.15926387159263869</v>
      </c>
      <c r="J14" s="400">
        <f>IF(ISNUMBER((Tasas!D14-Datos!BF14)/Datos!BF14),(Tasas!D14-Datos!BF14)/Datos!BF14," - ")</f>
        <v>0.39847148535457799</v>
      </c>
      <c r="K14" s="403">
        <f>IF(ISNUMBER((Tasas!E14-Datos!BG14)/Datos!BG14),(Tasas!E14-Datos!BG14)/Datos!BG14," - ")</f>
        <v>-9.6672650934841328E-2</v>
      </c>
      <c r="M14" t="e">
        <f>IF(Monitorios="SI",Datos!CE14,0)</f>
        <v>#REF!</v>
      </c>
      <c r="N14" t="e">
        <f>IF(Monitorios="SI",Datos!CF14,0)</f>
        <v>#REF!</v>
      </c>
      <c r="O14" t="e">
        <f>IF(Monitorios="SI",Datos!CG14,0)</f>
        <v>#REF!</v>
      </c>
      <c r="P14" t="e">
        <f>IF(Monitorios="SI",Datos!CH14,0)</f>
        <v>#REF!</v>
      </c>
      <c r="Q14">
        <f>IF(J_V="SI",0,Datos!AG14)</f>
        <v>40</v>
      </c>
      <c r="R14">
        <f>IF(J_V="SI",0,Datos!AH14)</f>
        <v>54</v>
      </c>
      <c r="S14">
        <f>IF(J_V="SI",0,Datos!AI14)</f>
        <v>48</v>
      </c>
      <c r="T14">
        <f>IF(J_V="SI",0,Datos!AJ14)</f>
        <v>48</v>
      </c>
    </row>
    <row r="15" spans="2:20" ht="15" thickTop="1">
      <c r="B15" s="192"/>
      <c r="C15" s="73" t="str">
        <f>Datos!A15</f>
        <v xml:space="preserve">Jurisdicción Penal ( 2 ):                      </v>
      </c>
      <c r="D15" s="269"/>
      <c r="E15" s="270"/>
      <c r="F15" s="270"/>
      <c r="G15" s="270"/>
      <c r="H15" s="295"/>
      <c r="I15" s="270"/>
      <c r="J15" s="270"/>
      <c r="K15" s="313"/>
    </row>
    <row r="16" spans="2:20" ht="14.25">
      <c r="B16" s="300" t="s">
        <v>510</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510</v>
      </c>
      <c r="C17" s="7" t="str">
        <f>Datos!A17</f>
        <v xml:space="preserve">Jdos. 1ª Instª. e Instr.                        </v>
      </c>
      <c r="D17" s="397">
        <f>IF(ISNUMBER(
   IF(D_I="SI",(Datos!I17-Datos!S17)/Datos!S17,(Datos!I17+Datos!AC17-(Datos!S17+Datos!AK17))/(Datos!S17+Datos!AK17))
     ),IF(D_I="SI",(Datos!I17-Datos!S17)/Datos!S17,(Datos!I17+Datos!AC17-(Datos!S17+Datos!AK17))/(Datos!S17+Datos!AK17))," - ")</f>
        <v>-0.19708029197080293</v>
      </c>
      <c r="E17" s="393">
        <f>IF(ISNUMBER(
   IF(D_I="SI",(Datos!J17-Datos!T17)/Datos!T17,(Datos!J17+Datos!AD17-(Datos!T17+Datos!AL17))/(Datos!T17+Datos!AL17))
     ),IF(D_I="SI",(Datos!J17-Datos!T17)/Datos!T17,(Datos!J17+Datos!AD17-(Datos!T17+Datos!AL17))/(Datos!T17+Datos!AL17))," - ")</f>
        <v>-0.18638170974155069</v>
      </c>
      <c r="F17" s="393">
        <f>IF(ISNUMBER(
   IF(D_I="SI",(Datos!K17-Datos!U17)/Datos!U17,(Datos!K17+Datos!AE17-(Datos!U17+Datos!AM17))/(Datos!U17+Datos!AM17))
     ),IF(D_I="SI",(Datos!K17-Datos!U17)/Datos!U17,(Datos!K17+Datos!AE17-(Datos!U17+Datos!AM17))/(Datos!U17+Datos!AM17))," - ")</f>
        <v>-0.20987654320987653</v>
      </c>
      <c r="G17" s="394">
        <f>IF(ISNUMBER(
   IF(D_I="SI",(Datos!L17-Datos!V17)/Datos!V17,(Datos!L17+Datos!AF17-(Datos!V17+Datos!AN17))/(Datos!V17+Datos!AN17))
     ),IF(D_I="SI",(Datos!L17-Datos!V17)/Datos!V17,(Datos!L17+Datos!AF17-(Datos!V17+Datos!AN17))/(Datos!V17+Datos!AN17))," - ")</f>
        <v>-0.12830687830687831</v>
      </c>
      <c r="H17" s="244">
        <f>IF(ISNUMBER((Datos!M17-Datos!W17)/Datos!W17),(Datos!M17-Datos!W17)/Datos!W17," - ")</f>
        <v>-0.27777777777777779</v>
      </c>
      <c r="I17" s="395">
        <f>IF(ISNUMBER((Tasas!C17-Datos!BE17)/Datos!BE17),(Tasas!C17-Datos!BE17)/Datos!BE17," - ")</f>
        <v>0.10323660714285708</v>
      </c>
      <c r="J17" s="394">
        <f>IF(ISNUMBER((Tasas!D17-Datos!BF17)/Datos!BF17),(Tasas!D17-Datos!BF17)/Datos!BF17," - ")</f>
        <v>-8.59375E-2</v>
      </c>
      <c r="K17" s="396">
        <f>IF(ISNUMBER((Tasas!E17-Datos!BG17)/Datos!BG17),(Tasas!E17-Datos!BG17)/Datos!BG17," - ")</f>
        <v>2.6296579532814196E-2</v>
      </c>
    </row>
    <row r="18" spans="2:20" ht="14.25">
      <c r="B18" s="300" t="s">
        <v>510</v>
      </c>
      <c r="C18" s="7" t="str">
        <f>Datos!A18</f>
        <v>Jdos. Violencia contra la mujer</v>
      </c>
      <c r="D18" s="397">
        <f>IF(ISNUMBER(
   IF(D_I="SI",(Datos!I18-Datos!S18)/Datos!S18,(Datos!I18+Datos!AC18-(Datos!S18+Datos!AK18))/(Datos!S18+Datos!AK18))
     ),IF(D_I="SI",(Datos!I18-Datos!S18)/Datos!S18,(Datos!I18+Datos!AC18-(Datos!S18+Datos!AK18))/(Datos!S18+Datos!AK18))," - ")</f>
        <v>0.23076923076923078</v>
      </c>
      <c r="E18" s="393">
        <f>IF(ISNUMBER(
   IF(D_I="SI",(Datos!J18-Datos!T18)/Datos!T18,(Datos!J18+Datos!AD18-(Datos!T18+Datos!AL18))/(Datos!T18+Datos!AL18))
     ),IF(D_I="SI",(Datos!J18-Datos!T18)/Datos!T18,(Datos!J18+Datos!AD18-(Datos!T18+Datos!AL18))/(Datos!T18+Datos!AL18))," - ")</f>
        <v>0.10434782608695652</v>
      </c>
      <c r="F18" s="393">
        <f>IF(ISNUMBER(
   IF(D_I="SI",(Datos!K18-Datos!U18)/Datos!U18,(Datos!K18+Datos!AE18-(Datos!U18+Datos!AM18))/(Datos!U18+Datos!AM18))
     ),IF(D_I="SI",(Datos!K18-Datos!U18)/Datos!U18,(Datos!K18+Datos!AE18-(Datos!U18+Datos!AM18))/(Datos!U18+Datos!AM18))," - ")</f>
        <v>2.8301886792452831E-2</v>
      </c>
      <c r="G18" s="394">
        <f>IF(ISNUMBER(
   IF(D_I="SI",(Datos!L18-Datos!V18)/Datos!V18,(Datos!L18+Datos!AF18-(Datos!V18+Datos!AN18))/(Datos!V18+Datos!AN18))
     ),IF(D_I="SI",(Datos!L18-Datos!V18)/Datos!V18,(Datos!L18+Datos!AF18-(Datos!V18+Datos!AN18))/(Datos!V18+Datos!AN18))," - ")</f>
        <v>0.34426229508196721</v>
      </c>
      <c r="H18" s="244">
        <f>IF(ISNUMBER((Datos!M18-Datos!W18)/Datos!W18),(Datos!M18-Datos!W18)/Datos!W18," - ")</f>
        <v>-0.14285714285714285</v>
      </c>
      <c r="I18" s="395">
        <f>IF(ISNUMBER((Tasas!C18-Datos!BE18)/Datos!BE18),(Tasas!C18-Datos!BE18)/Datos!BE18," - ")</f>
        <v>0.30726425026319759</v>
      </c>
      <c r="J18" s="394">
        <f>IF(ISNUMBER((Tasas!D18-Datos!BF18)/Datos!BF18),(Tasas!D18-Datos!BF18)/Datos!BF18," - ")</f>
        <v>-0.1664482306684141</v>
      </c>
      <c r="K18" s="396">
        <f>IF(ISNUMBER((Tasas!E18-Datos!BG18)/Datos!BG18),(Tasas!E18-Datos!BG18)/Datos!BG18," - ")</f>
        <v>0.112234247102126</v>
      </c>
    </row>
    <row r="19" spans="2:20" ht="14.25">
      <c r="B19" s="300" t="s">
        <v>510</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510</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510</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510</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-0.16689280868385345</v>
      </c>
      <c r="E23" s="399">
        <f>IF(ISNUMBER(
   IF(D_I="SI",(Datos!J23-Datos!T23)/Datos!T23,(Datos!J23+Datos!AD23-(Datos!T23+Datos!AL23))/(Datos!T23+Datos!AL23))
     ),IF(D_I="SI",(Datos!J23-Datos!T23)/Datos!T23,(Datos!J23+Datos!AD23-(Datos!T23+Datos!AL23))/(Datos!T23+Datos!AL23))," - ")</f>
        <v>-0.17066290550070523</v>
      </c>
      <c r="F23" s="399">
        <f>IF(ISNUMBER(
   IF(D_I="SI",(Datos!K23-Datos!U23)/Datos!U23,(Datos!K23+Datos!AE23-(Datos!U23+Datos!AM23))/(Datos!U23+Datos!AM23))
     ),IF(D_I="SI",(Datos!K23-Datos!U23)/Datos!U23,(Datos!K23+Datos!AE23-(Datos!U23+Datos!AM23))/(Datos!U23+Datos!AM23))," - ")</f>
        <v>-0.19756097560975611</v>
      </c>
      <c r="G23" s="400">
        <f>IF(ISNUMBER(
   IF(D_I="SI",(Datos!L23-Datos!V23)/Datos!V23,(Datos!L23+Datos!AF23-(Datos!V23+Datos!AN23))/(Datos!V23+Datos!AN23))
     ),IF(D_I="SI",(Datos!L23-Datos!V23)/Datos!V23,(Datos!L23+Datos!AF23-(Datos!V23+Datos!AN23))/(Datos!V23+Datos!AN23))," - ")</f>
        <v>-9.3023255813953487E-2</v>
      </c>
      <c r="H23" s="401">
        <f>IF(ISNUMBER((Datos!M23-Datos!W23)/Datos!W23),(Datos!M23-Datos!W23)/Datos!W23," - ")</f>
        <v>-0.26886792452830188</v>
      </c>
      <c r="I23" s="402">
        <f>IF(ISNUMBER((Tasas!C23-Datos!BE23)/Datos!BE23),(Tasas!C23-Datos!BE23)/Datos!BE23," - ")</f>
        <v>0.13027496995829504</v>
      </c>
      <c r="J23" s="400">
        <f>IF(ISNUMBER((Tasas!D23-Datos!BF23)/Datos!BF23),(Tasas!D23-Datos!BF23)/Datos!BF23," - ")</f>
        <v>-8.8862763089981034E-2</v>
      </c>
      <c r="K23" s="403">
        <f>IF(ISNUMBER((Tasas!E23-Datos!BG23)/Datos!BG23),(Tasas!E23-Datos!BG23)/Datos!BG23," - ")</f>
        <v>3.4729415360581523E-2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511</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512</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512</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-6.7572815533980576E-2</v>
      </c>
      <c r="E31" s="409">
        <f>IF(ISNUMBER(
   IF(J_V="SI",(Datos!J31-Datos!T31)/Datos!T31,(Datos!J31+Datos!Z31-(Datos!T31+Datos!AH31))/(Datos!T31+Datos!AH31))
     ),IF(J_V="SI",(Datos!J31-Datos!T31)/Datos!T31,(Datos!J31+Datos!Z31-(Datos!T31+Datos!AH31))/(Datos!T31+Datos!AH31))," - ")</f>
        <v>-6.0042887776983557E-2</v>
      </c>
      <c r="F31" s="409">
        <f>IF(ISNUMBER(
   IF(J_V="SI",(Datos!K31-Datos!U31)/Datos!U31,(Datos!K31+Datos!AA31-(Datos!U31+Datos!AI31))/(Datos!U31+Datos!AI31))
     ),IF(J_V="SI",(Datos!K31-Datos!U31)/Datos!U31,(Datos!K31+Datos!AA31-(Datos!U31+Datos!AI31))/(Datos!U31+Datos!AI31))," - ")</f>
        <v>-0.10526315789473684</v>
      </c>
      <c r="G31" s="410">
        <f>IF(ISNUMBER(
   IF(J_V="SI",(Datos!L31-Datos!V31)/Datos!V31,(Datos!L31+Datos!AB31-(Datos!V31+Datos!AJ31))/(Datos!V31+Datos!AJ31))
     ),IF(J_V="SI",(Datos!L31-Datos!V31)/Datos!V31,(Datos!L31+Datos!AB31-(Datos!V31+Datos!AJ31))/(Datos!V31+Datos!AJ31))," - ")</f>
        <v>-4.0294459511817128E-2</v>
      </c>
      <c r="H31" s="411">
        <f>IF(ISNUMBER((Datos!M31-Datos!W31)/Datos!W31),(Datos!M31-Datos!W31)/Datos!W31," - ")</f>
        <v>-9.8398169336384442E-2</v>
      </c>
      <c r="I31" s="408">
        <f>IF(ISNUMBER((Tasas!C31-Datos!BE31)/Datos!BE31),(Tasas!C31-Datos!BE31)/Datos!BE31," - ")</f>
        <v>7.261207466326311E-2</v>
      </c>
      <c r="J31" s="409">
        <f>IF(ISNUMBER((Tasas!D31-Datos!BF31)/Datos!BF31),(Tasas!D31-Datos!BF31)/Datos!BF31," - ")</f>
        <v>0.23003614853762744</v>
      </c>
      <c r="K31" s="410">
        <f>IF(ISNUMBER((Tasas!E31-Datos!BG31)/Datos!BG31),(Tasas!E31-Datos!BG31)/Datos!BG31," - ")</f>
        <v>4.6507045029066871E-2</v>
      </c>
    </row>
    <row r="32" spans="2:20" ht="15.75" customHeight="1" thickTop="1" thickBot="1">
      <c r="B32" s="180"/>
      <c r="C32" s="1102" t="s">
        <v>340</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341</v>
      </c>
      <c r="D33" s="302">
        <f t="shared" ref="D33:K33" si="1">IF(ISNUMBER( STDEV(D8:D30)),STDEV(D8:D30)," - ")</f>
        <v>0.19622476160888511</v>
      </c>
      <c r="E33" s="303">
        <f t="shared" si="1"/>
        <v>1.5478839001219049</v>
      </c>
      <c r="F33" s="303">
        <f t="shared" si="1"/>
        <v>2.5655267569883451</v>
      </c>
      <c r="G33" s="304">
        <f t="shared" si="1"/>
        <v>0.21495413883088729</v>
      </c>
      <c r="H33" s="310">
        <f t="shared" si="1"/>
        <v>1.6869694188656723</v>
      </c>
      <c r="I33" s="302">
        <f t="shared" si="1"/>
        <v>0.39894945129518761</v>
      </c>
      <c r="J33" s="303">
        <f t="shared" si="1"/>
        <v>0.27073289656395622</v>
      </c>
      <c r="K33" s="304">
        <f t="shared" si="1"/>
        <v>0.33463444650926522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338</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339</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DGTUmuQxtjHA9ARces57aT3mYvh0QcY1rgB1Ptw4oFyYyy7LiA9HCQeEjZB/u98VgNQ0a7oFnHjluRYymeFJA==" saltValue="kvW7110FVyRYLWu8YGpd9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